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Company &amp; Prize" sheetId="2" state="visible" r:id="rId2"/>
    <sheet xmlns:r="http://schemas.openxmlformats.org/officeDocument/2006/relationships" name="2 Pick Levers" sheetId="3" state="visible" r:id="rId3"/>
    <sheet xmlns:r="http://schemas.openxmlformats.org/officeDocument/2006/relationships" name="3 Investment" sheetId="4" state="visible" r:id="rId4"/>
    <sheet xmlns:r="http://schemas.openxmlformats.org/officeDocument/2006/relationships" name="3b Payback" sheetId="5" state="visible" r:id="rId5"/>
    <sheet xmlns:r="http://schemas.openxmlformats.org/officeDocument/2006/relationships" name="4 Canvas" sheetId="6" state="visible" r:id="rId6"/>
    <sheet xmlns:r="http://schemas.openxmlformats.org/officeDocument/2006/relationships" name="5 Stakeholders" sheetId="7" state="visible" r:id="rId7"/>
    <sheet xmlns:r="http://schemas.openxmlformats.org/officeDocument/2006/relationships" name="6 KPI Tracker" sheetId="8" state="visible" r:id="rId8"/>
    <sheet xmlns:r="http://schemas.openxmlformats.org/officeDocument/2006/relationships" name="7 Make It Stick" sheetId="9" state="visible" r:id="rId9"/>
    <sheet xmlns:r="http://schemas.openxmlformats.org/officeDocument/2006/relationships" name="Self-Check" sheetId="10" state="visible" r:id="rId10"/>
    <sheet xmlns:r="http://schemas.openxmlformats.org/officeDocument/2006/relationships" name="Benchmarks" sheetId="11" state="visible" r:id="rId11"/>
    <sheet xmlns:r="http://schemas.openxmlformats.org/officeDocument/2006/relationships" name="Sources" sheetId="12" state="visible" r:id="rId12"/>
  </sheets>
  <definedNames>
    <definedName name="Company">'1 Company &amp; Prize'!$C$8</definedName>
    <definedName name="Revenue">'1 Company &amp; Prize'!$C$9</definedName>
    <definedName name="Industry">'1 Company &amp; Prize'!$C$10</definedName>
    <definedName name="OpMargin">'1 Company &amp; Prize'!$C$11</definedName>
    <definedName name="StartMonth">'1 Company &amp; Prize'!$C$12</definedName>
    <definedName name="StartMonthUsed">'1 Company &amp; Prize'!$E$12</definedName>
    <definedName name="StartYear">'1 Company &amp; Prize'!$C$13</definedName>
    <definedName name="StartYearUsed">'1 Company &amp; Prize'!$E$13</definedName>
    <definedName name="Route">'1 Company &amp; Prize'!$C$14</definedName>
    <definedName name="RouteUsed">'1 Company &amp; Prize'!$E$14</definedName>
    <definedName name="AddressableShare">'1 Company &amp; Prize'!$C$15</definedName>
    <definedName name="AddressableShareUsed">'1 Company &amp; Prize'!$E$15</definedName>
    <definedName name="PrizeLow">'1 Company &amp; Prize'!$C$20</definedName>
    <definedName name="PrizeMid">'1 Company &amp; Prize'!$D$20</definedName>
    <definedName name="Band">'1 Company &amp; Prize'!$C$21</definedName>
    <definedName name="PrizeBest">'1 Company &amp; Prize'!$J$20</definedName>
    <definedName name="OpProfit">'1 Company &amp; Prize'!$J$21</definedName>
    <definedName name="BudgetYear">'1 Company &amp; Prize'!$J$22</definedName>
    <definedName name="OnePctPriceDollars">'1 Company &amp; Prize'!$C$24</definedName>
    <definedName name="OnePctPriceOPpct">'1 Company &amp; Prize'!$C$25</definedName>
    <definedName name="IndustryMedian">'1 Company &amp; Prize'!$C$26</definedName>
    <definedName name="DistributionCallout">'1 Company &amp; Prize'!$D$24</definedName>
    <definedName name="MonthlyDelayCost">'1 Company &amp; Prize'!$J$31</definedName>
    <definedName name="WaitGapY3">'1 Company &amp; Prize'!$E$35</definedName>
    <definedName name="InitiativeName">'2 Pick Levers'!$D$6</definedName>
    <definedName name="LeverPicks">'2 Pick Levers'!$D$9:$D$16</definedName>
    <definedName name="LeverEvidence">'2 Pick Levers'!$J$9:$J$16</definedName>
    <definedName name="LeverCount">'2 Pick Levers'!$G$19</definedName>
    <definedName name="LeverGross">'2 Pick Levers'!$G$20</definedName>
    <definedName name="LeverHaircut">'2 Pick Levers'!$E$21</definedName>
    <definedName name="LeverHaircutUsed">'2 Pick Levers'!$F$21</definedName>
    <definedName name="LeverPrize">'2 Pick Levers'!$G$22</definedName>
    <definedName name="PrizeBasis">'2 Pick Levers'!$F$25</definedName>
    <definedName name="PrizeBasisUsed">'2 Pick Levers'!$H$25</definedName>
    <definedName name="PrizeUsed">'2 Pick Levers'!$J$25</definedName>
    <definedName name="Lever1Text">'2 Pick Levers'!$B$28</definedName>
    <definedName name="Lever2Text">'2 Pick Levers'!$B$29</definedName>
    <definedName name="Lever3Text">'2 Pick Levers'!$B$30</definedName>
    <definedName name="AIPrompt">'2 Pick Levers'!$B$33</definedName>
    <definedName name="YourInternal">'3 Investment'!$F$10</definedName>
    <definedName name="PlanInternal">'3 Investment'!$G$10</definedName>
    <definedName name="SuggInternal">'3 Investment'!$E$10</definedName>
    <definedName name="YourDiag">'3 Investment'!$F$11</definedName>
    <definedName name="PlanDiag">'3 Investment'!$G$11</definedName>
    <definedName name="SuggDiag">'3 Investment'!$E$11</definedName>
    <definedName name="YourSprint">'3 Investment'!$F$12</definedName>
    <definedName name="PlanSprint">'3 Investment'!$G$12</definedName>
    <definedName name="SuggSprint">'3 Investment'!$E$12</definedName>
    <definedName name="YourBuild">'3 Investment'!$F$13</definedName>
    <definedName name="PlanBuild">'3 Investment'!$G$13</definedName>
    <definedName name="SuggBuild">'3 Investment'!$E$13</definedName>
    <definedName name="AdoptMultiplier">'3 Investment'!$C$14</definedName>
    <definedName name="AdoptMultiplierUsed">'3 Investment'!$D$14</definedName>
    <definedName name="YourAdopt">'3 Investment'!$F$14</definedName>
    <definedName name="PlanAdopt">'3 Investment'!$G$14</definedName>
    <definedName name="SuggAdopt">'3 Investment'!$E$14</definedName>
    <definedName name="TeamHours">'3 Investment'!$C$15</definedName>
    <definedName name="TeamRate">'3 Investment'!$D$15</definedName>
    <definedName name="YourTeam">'3 Investment'!$F$15</definedName>
    <definedName name="PlanTeam">'3 Investment'!$G$15</definedName>
    <definedName name="SuggTeam">'3 Investment'!$E$15</definedName>
    <definedName name="YourSustain">'3 Investment'!$F$16</definedName>
    <definedName name="PlanSustain">'3 Investment'!$G$16</definedName>
    <definedName name="SuggSustain">'3 Investment'!$E$16</definedName>
    <definedName name="YourOther">'3 Investment'!$F$17</definedName>
    <definedName name="PlanOther">'3 Investment'!$G$17</definedName>
    <definedName name="LadderTotal">'3 Investment'!$G$18</definedName>
    <definedName name="DurInternal">'3 Investment'!$F$22</definedName>
    <definedName name="DurInternalUsed">'3 Investment'!$G$22</definedName>
    <definedName name="DurDiag">'3 Investment'!$F$23</definedName>
    <definedName name="DurDiagUsed">'3 Investment'!$G$23</definedName>
    <definedName name="DurSprint">'3 Investment'!$F$24</definedName>
    <definedName name="DurSprintUsed">'3 Investment'!$G$24</definedName>
    <definedName name="DurBuild">'3 Investment'!$F$25</definedName>
    <definedName name="DurBuildUsed">'3 Investment'!$G$25</definedName>
    <definedName name="ValueStart">'3 Investment'!$F$26</definedName>
    <definedName name="ValueStartUsed">'3 Investment'!$G$26</definedName>
    <definedName name="RampMonths">'3 Investment'!$F$27</definedName>
    <definedName name="RampMonthsUsed">'3 Investment'!$G$27</definedName>
    <definedName name="VolumeHaircut">'3 Investment'!$F$28</definedName>
    <definedName name="VolumeHaircutUsed">'3 Investment'!$G$28</definedName>
    <definedName name="DiscountRate">'3 Investment'!$F$29</definedName>
    <definedName name="DiscountRateUsed">'3 Investment'!$G$29</definedName>
    <definedName name="PhaseStartDiag">'3 Investment'!$D$30</definedName>
    <definedName name="PhaseStartSprint">'3 Investment'!$F$30</definedName>
    <definedName name="PhaseStartBuild">'3 Investment'!$H$30</definedName>
    <definedName name="SustainStartMonth">'3 Investment'!$D$31</definedName>
    <definedName name="AdoptWindow">'3 Investment'!$H$31</definedName>
    <definedName name="GateDiag">'3 Investment'!$D$35</definedName>
    <definedName name="GateDiagUsed">'3 Investment'!$E$35</definedName>
    <definedName name="GateDiagText">'3 Investment'!$F$35</definedName>
    <definedName name="GateSprint">'3 Investment'!$D$36</definedName>
    <definedName name="GateSprintUsed">'3 Investment'!$E$36</definedName>
    <definedName name="GateSprintText">'3 Investment'!$F$36</definedName>
    <definedName name="GateBuild">'3 Investment'!$D$37</definedName>
    <definedName name="GateBuildUsed">'3 Investment'!$E$37</definedName>
    <definedName name="GateBuildText">'3 Investment'!$F$37</definedName>
    <definedName name="GatesLine">'3 Investment'!$D$38</definedName>
    <definedName name="OutsideSpend">'3 Investment'!$C$47</definedName>
    <definedName name="SpendM1to12">'3b Payback'!$C$9:$N$9</definedName>
    <definedName name="ValueM1to12">'3b Payback'!$C$10:$N$10</definedName>
    <definedName name="SpendM13to24">'3b Payback'!$C$17:$N$17</definedName>
    <definedName name="CumNetM1to12">'3b Payback'!$C$12:$N$12</definedName>
    <definedName name="CumNetM13to24">'3b Payback'!$C$20:$N$20</definedName>
    <definedName name="PaybackMonth">'3b Payback'!$C$24</definedName>
    <definedName name="Y1Value">'3b Payback'!$C$25</definedName>
    <definedName name="Y1Spend">'3b Payback'!$C$26</definedName>
    <definedName name="Y1Net">'3b Payback'!$C$27</definedName>
    <definedName name="Y1ROI">'3b Payback'!$C$28</definedName>
    <definedName name="Y1NetROI">'3b Payback'!$C$29</definedName>
    <definedName name="BreakevenCapture">'3b Payback'!$C$30</definedName>
    <definedName name="Y2Value">'3b Payback'!$C$31</definedName>
    <definedName name="RunRateReturn">'3b Payback'!$C$32</definedName>
    <definedName name="PaybackFlag">'3b Payback'!$E$24</definedName>
    <definedName name="ScenarioDownsidePayback">'3b Payback'!$L$25</definedName>
    <definedName name="ScenarioDownsideY1Net">'3b Payback'!$M$25</definedName>
    <definedName name="ScenarioBasePayback">'3b Payback'!$L$26</definedName>
    <definedName name="ScenarioBaseY1Net">'3b Payback'!$M$26</definedName>
    <definedName name="ScenarioUpsidePayback">'3b Payback'!$L$27</definedName>
    <definedName name="ScenarioUpsideY1Net">'3b Payback'!$M$27</definedName>
    <definedName name="ScenarioLateStartPayback">'3b Payback'!$L$28</definedName>
    <definedName name="ScenarioLateStartY1Net">'3b Payback'!$M$28</definedName>
    <definedName name="NPVTwoYears">'3b Payback'!$M$29</definedName>
    <definedName name="PreparedFor">'4 Canvas'!$N$6</definedName>
    <definedName name="TilePrize">'4 Canvas'!$B$9</definedName>
    <definedName name="TileInvest">'4 Canvas'!$E$9</definedName>
    <definedName name="TilePayback">'4 Canvas'!$H$9</definedName>
    <definedName name="TileY1Net">'4 Canvas'!$K$9</definedName>
    <definedName name="TileDelay">'4 Canvas'!$N$9</definedName>
    <definedName name="CanvasOpp">'4 Canvas'!$B$14</definedName>
    <definedName name="CanvasFin">'4 Canvas'!$G$14</definedName>
    <definedName name="CanvasInv">'4 Canvas'!$L$14</definedName>
    <definedName name="CanvasRisk">'4 Canvas'!$B$18</definedName>
    <definedName name="CanvasTime">'4 Canvas'!$L$18</definedName>
    <definedName name="Owner">'4 Canvas'!$I$18</definedName>
    <definedName name="Sponsor">'4 Canvas'!$I$19</definedName>
    <definedName name="FinancePartner">'4 Canvas'!$I$20</definedName>
    <definedName name="SalesLead">'4 Canvas'!$I$21</definedName>
    <definedName name="ITLead">'4 Canvas'!$I$22</definedName>
    <definedName name="CanvasKPI">'4 Canvas'!$B$30</definedName>
    <definedName name="CanvasAsk">'4 Canvas'!$B$33</definedName>
    <definedName name="CanvasVerdict">'4 Canvas'!$B$35</definedName>
    <definedName name="YourOpp">'4 Canvas'!$J$41</definedName>
    <definedName name="YourRisk">'4 Canvas'!$J$44</definedName>
    <definedName name="YourAsk">'4 Canvas'!$J$47</definedName>
    <definedName name="CanvasQ1">'4 Canvas'!$C$51</definedName>
    <definedName name="CanvasQ2">'4 Canvas'!$D$51</definedName>
    <definedName name="CanvasQ3">'4 Canvas'!$E$51</definedName>
    <definedName name="CanvasQ4">'4 Canvas'!$F$51</definedName>
    <definedName name="BandwidthHours">'5 Stakeholders'!$E$24</definedName>
    <definedName name="NPRTarget">'6 KPI Tracker'!$J$8</definedName>
    <definedName name="PMTarget">'6 KPI Tracker'!$J$9</definedName>
    <definedName name="LeakTarget">'6 KPI Tracker'!$J$10</definedName>
    <definedName name="WinTarget">'6 KPI Tracker'!$J$11</definedName>
    <definedName name="AdoptTarget">'6 KPI Tracker'!$J$12</definedName>
    <definedName name="TTVTarget">'6 KPI Tracker'!$J$13</definedName>
    <definedName name="TTVActual">'6 KPI Tracker'!$L$13</definedName>
    <definedName name="TTVStatus">'6 KPI Tracker'!$M$13</definedName>
    <definedName name="NPRDollars">'6 KPI Tracker'!$K$8</definedName>
    <definedName name="PMDollars">'6 KPI Tracker'!$K$9</definedName>
    <definedName name="ChecklistDone">'7 Make It Stick'!$D$29</definedName>
    <definedName name="MaturityStep">'Self-Check'!$D$11</definedName>
    <definedName name="SelfCheckScore">'Self-Check'!$D$26</definedName>
    <definedName name="RecommendedStep">'Self-Check'!$D$30</definedName>
    <definedName name="BandMirror">'Benchmarks'!$D$7</definedName>
    <definedName name="MedianNames">'Benchmarks'!$C$16:$C$24</definedName>
    <definedName name="MedianValues">'Benchmarks'!$D$16:$D$24</definedName>
    <definedName name="OverallMedian">'Benchmarks'!$D$25</definedName>
    <definedName name="_xlnm.Print_Area" localSheetId="0">'Start Here'!$A$1:$G$44</definedName>
    <definedName name="_xlnm.Print_Area" localSheetId="1">'1 Company &amp; Prize'!$A$1:$H$37</definedName>
    <definedName name="_xlnm.Print_Area" localSheetId="2">'2 Pick Levers'!$A$1:$L$35</definedName>
    <definedName name="_xlnm.Print_Area" localSheetId="3">'3 Investment'!$A$1:$I$40</definedName>
    <definedName name="_xlnm.Print_Area" localSheetId="4">'3b Payback'!$A$1:$O$48</definedName>
    <definedName name="_xlnm.Print_Area" localSheetId="5">'4 Canvas'!$B$6:$P$36</definedName>
    <definedName name="_xlnm.Print_Area" localSheetId="6">'5 Stakeholders'!$A$1:$J$26</definedName>
    <definedName name="_xlnm.Print_Area" localSheetId="7">'6 KPI Tracker'!$A$1:$X$26</definedName>
    <definedName name="_xlnm.Print_Area" localSheetId="8">'7 Make It Stick'!$A$1:$G$42</definedName>
    <definedName name="_xlnm.Print_Area" localSheetId="9">'Self-Check'!$A$1:$G$35</definedName>
    <definedName name="_xlnm.Print_Area" localSheetId="10">'Benchmarks'!$A$1:$G$38</definedName>
    <definedName name="_xlnm.Print_Area" localSheetId="11">'Sources'!$A$1:$G$27</definedName>
  </definedNames>
  <calcPr calcId="124519" fullCalcOnLoad="1"/>
</workbook>
</file>

<file path=xl/styles.xml><?xml version="1.0" encoding="utf-8"?>
<styleSheet xmlns="http://schemas.openxmlformats.org/spreadsheetml/2006/main">
  <numFmts count="15">
    <numFmt numFmtId="164" formatCode="$#,##0"/>
    <numFmt numFmtId="165" formatCode="0.0%"/>
    <numFmt numFmtId="166" formatCode="$#,##0.0,,&quot;M&quot;;($#,##0.0,,&quot;M&quot;);&quot;–&quot;"/>
    <numFmt numFmtId="167" formatCode="$#,##0,&quot;K&quot;;($#,##0,&quot;K&quot;);&quot;–&quot;"/>
    <numFmt numFmtId="168" formatCode="$#,##0;($#,##0);&quot;–&quot;"/>
    <numFmt numFmtId="169" formatCode="0.0&quot;×&quot;"/>
    <numFmt numFmtId="170" formatCode="0.0&quot;× build&quot;"/>
    <numFmt numFmtId="171" formatCode="#,##0&quot; h&quot;"/>
    <numFmt numFmtId="172" formatCode="$#,##0&quot;/h&quot;"/>
    <numFmt numFmtId="173" formatCode="&quot;month &quot;0"/>
    <numFmt numFmtId="174" formatCode="0&quot; mo&quot;"/>
    <numFmt numFmtId="175" formatCode="$#,##0.0,&quot;K&quot;;($#,##0.0,&quot;K&quot;);&quot;–&quot;"/>
    <numFmt numFmtId="176" formatCode="+0;-0;0"/>
    <numFmt numFmtId="177" formatCode="+0.0;-0.0;&quot;±0&quot;"/>
    <numFmt numFmtId="178" formatCode="mmm d"/>
  </numFmts>
  <fonts count="6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C7D0D9"/>
      <sz val="10"/>
    </font>
    <font>
      <name val="Calibri"/>
      <color rgb="006BA02E"/>
      <sz val="9"/>
      <u val="single"/>
    </font>
    <font>
      <name val="Calibri"/>
      <b val="1"/>
      <color rgb="00FFFFFF"/>
      <sz val="11"/>
    </font>
    <font>
      <name val="Calibri"/>
      <color rgb="001F2A30"/>
      <sz val="9.5"/>
    </font>
    <font>
      <name val="Calibri"/>
      <b val="1"/>
      <color rgb="001F2A30"/>
      <sz val="11"/>
    </font>
    <font>
      <name val="Calibri"/>
      <b val="1"/>
      <color rgb="006BA02E"/>
      <sz val="11"/>
    </font>
    <font>
      <name val="Calibri"/>
      <color rgb="006B7A5E"/>
      <sz val="10"/>
    </font>
    <font>
      <name val="Calibri"/>
      <i val="1"/>
      <color rgb="00808080"/>
      <sz val="9"/>
    </font>
    <font>
      <name val="Calibri"/>
      <b val="1"/>
      <color rgb="00FFFFFF"/>
      <sz val="9"/>
    </font>
    <font>
      <name val="Calibri"/>
      <b val="1"/>
      <color rgb="006BA02E"/>
      <sz val="9.5"/>
      <u val="single"/>
    </font>
    <font>
      <name val="Calibri"/>
      <color rgb="001F2A30"/>
      <sz val="9"/>
    </font>
    <font>
      <name val="Calibri"/>
      <color rgb="005A6770"/>
      <sz val="9"/>
    </font>
    <font>
      <name val="Calibri"/>
      <b val="1"/>
      <color rgb="005A6770"/>
      <sz val="9"/>
    </font>
    <font>
      <name val="Calibri"/>
      <b val="1"/>
      <color rgb="001F2A30"/>
      <sz val="10"/>
    </font>
    <font>
      <name val="Calibri"/>
      <b val="1"/>
      <color rgb="001F2A30"/>
      <sz val="12"/>
    </font>
    <font>
      <name val="Calibri"/>
      <b val="1"/>
      <color rgb="006BA02E"/>
      <sz val="20"/>
    </font>
    <font>
      <name val="Calibri"/>
      <i val="1"/>
      <color rgb="005A6770"/>
      <sz val="9.5"/>
    </font>
    <font>
      <name val="Calibri"/>
      <b val="1"/>
      <color rgb="000F2A44"/>
      <sz val="8.5"/>
    </font>
    <font>
      <name val="Calibri"/>
      <b val="1"/>
      <color rgb="006BA02E"/>
      <sz val="10"/>
    </font>
    <font>
      <name val="Calibri"/>
      <b val="1"/>
      <color rgb="00808080"/>
      <sz val="8"/>
    </font>
    <font>
      <name val="Calibri"/>
      <color rgb="00808080"/>
      <sz val="8"/>
    </font>
    <font>
      <name val="Calibri"/>
      <color rgb="000F2A44"/>
      <sz val="8.5"/>
    </font>
    <font>
      <name val="Calibri"/>
      <color rgb="001F2A30"/>
      <sz val="10"/>
    </font>
    <font>
      <name val="Calibri"/>
      <b val="1"/>
      <color rgb="006BA02E"/>
      <sz val="12"/>
    </font>
    <font>
      <name val="Calibri"/>
      <b val="1"/>
      <color rgb="00FFFFFF"/>
      <sz val="9.5"/>
    </font>
    <font>
      <name val="Calibri"/>
      <b val="1"/>
      <color rgb="00E06650"/>
      <sz val="10"/>
    </font>
    <font>
      <name val="Calibri"/>
      <b val="1"/>
      <color rgb="005A6770"/>
      <sz val="12"/>
    </font>
    <font>
      <name val="Calibri"/>
      <b val="1"/>
      <color rgb="00E06650"/>
      <sz val="12"/>
    </font>
    <font>
      <name val="Calibri"/>
      <b val="1"/>
      <color rgb="000F2A44"/>
      <sz val="10.5"/>
    </font>
    <font>
      <name val="Calibri"/>
      <b val="1"/>
      <color rgb="00FFFFFF"/>
      <sz val="8.5"/>
    </font>
    <font>
      <name val="Calibri"/>
      <b val="1"/>
      <color rgb="000F2A44"/>
      <sz val="9"/>
    </font>
    <font>
      <name val="Calibri"/>
      <b val="1"/>
      <color rgb="001F2A30"/>
      <sz val="9.5"/>
    </font>
    <font>
      <name val="Calibri"/>
      <color rgb="001F2A30"/>
      <sz val="8.5"/>
    </font>
    <font>
      <name val="Calibri"/>
      <b val="1"/>
      <color rgb="006BA02E"/>
      <sz val="14"/>
    </font>
    <font>
      <name val="Calibri"/>
      <color rgb="000F2A44"/>
      <sz val="9.5"/>
    </font>
    <font>
      <name val="Calibri"/>
      <i val="1"/>
      <color rgb="005A6770"/>
      <sz val="9"/>
    </font>
    <font>
      <name val="Calibri"/>
      <color rgb="006B7A5E"/>
      <sz val="9"/>
    </font>
    <font>
      <name val="Calibri"/>
      <b val="1"/>
      <color rgb="001F2A30"/>
      <sz val="9"/>
    </font>
    <font>
      <name val="Calibri"/>
      <b val="1"/>
      <color rgb="006BA02E"/>
      <sz val="9"/>
    </font>
    <font>
      <name val="Calibri"/>
      <i val="1"/>
      <color rgb="00808080"/>
      <sz val="8.5"/>
    </font>
    <font>
      <name val="Calibri"/>
      <color rgb="000F2A44"/>
      <sz val="9"/>
    </font>
    <font>
      <name val="Calibri"/>
      <color rgb="005A6770"/>
      <sz val="8.5"/>
    </font>
    <font>
      <name val="Calibri"/>
      <color rgb="006B7A5E"/>
      <sz val="9.5"/>
    </font>
    <font>
      <name val="Calibri"/>
      <color rgb="005A6770"/>
      <sz val="8"/>
    </font>
    <font>
      <name val="Calibri"/>
      <b val="1"/>
      <color rgb="006BA02E"/>
      <sz val="9.5"/>
    </font>
    <font>
      <name val="Calibri"/>
      <i val="1"/>
      <color rgb="00808080"/>
      <sz val="8"/>
    </font>
    <font>
      <name val="Calibri"/>
      <b val="1"/>
      <color rgb="00091C32"/>
      <sz val="16"/>
    </font>
    <font>
      <name val="Calibri"/>
      <b val="1"/>
      <color rgb="00091C32"/>
      <sz val="18"/>
    </font>
    <font>
      <name val="Calibri"/>
      <color rgb="005A6770"/>
      <sz val="7.5"/>
    </font>
    <font>
      <name val="Calibri"/>
      <i val="1"/>
      <color rgb="005A6770"/>
      <sz val="8"/>
    </font>
    <font>
      <name val="Calibri"/>
      <b val="1"/>
      <color rgb="000F2A44"/>
      <sz val="8"/>
    </font>
    <font>
      <name val="Calibri"/>
      <color rgb="005A6770"/>
      <sz val="7"/>
    </font>
    <font>
      <name val="Calibri"/>
      <b val="1"/>
      <color rgb="005A6770"/>
      <sz val="7"/>
    </font>
    <font>
      <name val="Calibri"/>
      <color rgb="001F2A30"/>
      <sz val="7"/>
    </font>
    <font>
      <name val="Calibri"/>
      <b val="1"/>
      <color rgb="00FFFFFF"/>
      <sz val="10.5"/>
    </font>
    <font>
      <name val="Calibri"/>
      <b val="1"/>
      <color rgb="00FFFFFF"/>
      <sz val="8"/>
    </font>
    <font>
      <name val="Calibri"/>
      <i val="1"/>
      <color rgb="005A6770"/>
      <sz val="8.5"/>
    </font>
    <font>
      <name val="Calibri"/>
      <b val="1"/>
      <color rgb="000F2A44"/>
      <sz val="10"/>
    </font>
    <font>
      <name val="Calibri"/>
      <b val="1"/>
      <color rgb="000F2A44"/>
      <sz val="9.5"/>
    </font>
    <font>
      <name val="Calibri"/>
      <b val="1"/>
      <color rgb="001F2A30"/>
      <sz val="8.5"/>
    </font>
    <font>
      <name val="Calibri"/>
      <color rgb="005A6770"/>
      <sz val="10"/>
    </font>
    <font>
      <name val="Calibri"/>
      <b val="1"/>
      <color rgb="00FFFFFF"/>
      <sz val="10"/>
    </font>
    <font>
      <name val="Calibri"/>
      <b val="1"/>
      <color rgb="000F2A44"/>
      <sz val="11"/>
    </font>
    <font>
      <name val="Calibri"/>
      <b val="1"/>
      <color rgb="005A6770"/>
      <sz val="9.5"/>
    </font>
    <font>
      <name val="Calibri"/>
      <color rgb="006BA02E"/>
      <sz val="8.5"/>
    </font>
    <font>
      <name val="Calibri"/>
      <color rgb="001F2A30"/>
      <sz val="11"/>
    </font>
  </fonts>
  <fills count="12">
    <fill>
      <patternFill/>
    </fill>
    <fill>
      <patternFill patternType="gray125"/>
    </fill>
    <fill>
      <patternFill patternType="solid">
        <fgColor rgb="00091C32"/>
        <bgColor rgb="00091C32"/>
      </patternFill>
    </fill>
    <fill>
      <patternFill patternType="solid">
        <fgColor rgb="007DB73E"/>
        <bgColor rgb="007DB73E"/>
      </patternFill>
    </fill>
    <fill>
      <patternFill patternType="solid">
        <fgColor rgb="000F2A44"/>
        <bgColor rgb="000F2A44"/>
      </patternFill>
    </fill>
    <fill>
      <patternFill patternType="solid">
        <fgColor rgb="00EAF3DE"/>
        <bgColor rgb="00EAF3DE"/>
      </patternFill>
    </fill>
    <fill>
      <patternFill patternType="solid">
        <fgColor rgb="00F2F5EE"/>
        <bgColor rgb="00F2F5EE"/>
      </patternFill>
    </fill>
    <fill>
      <patternFill patternType="solid">
        <fgColor rgb="00F7F9FA"/>
        <bgColor rgb="00F7F9FA"/>
      </patternFill>
    </fill>
    <fill>
      <patternFill patternType="solid">
        <fgColor rgb="00EEF1F4"/>
        <bgColor rgb="00EEF1F4"/>
      </patternFill>
    </fill>
    <fill>
      <patternFill patternType="solid">
        <fgColor rgb="00FFFFFF"/>
        <bgColor rgb="00FFFFFF"/>
      </patternFill>
    </fill>
    <fill>
      <patternFill patternType="solid">
        <fgColor rgb="00E06650"/>
        <bgColor rgb="00E06650"/>
      </patternFill>
    </fill>
    <fill>
      <patternFill patternType="solid">
        <fgColor rgb="005A6770"/>
        <bgColor rgb="005A6770"/>
      </patternFill>
    </fill>
  </fills>
  <borders count="10">
    <border>
      <left/>
      <right/>
      <top/>
      <bottom/>
      <diagonal/>
    </border>
    <border>
      <left style="thin">
        <color rgb="007DB73E"/>
      </left>
      <right style="thin">
        <color rgb="007DB73E"/>
      </right>
      <top style="thin">
        <color rgb="007DB73E"/>
      </top>
      <bottom style="thin">
        <color rgb="007DB73E"/>
      </bottom>
    </border>
    <border>
      <left style="thin">
        <color rgb="00D5DCE2"/>
      </left>
      <right style="thin">
        <color rgb="00D5DCE2"/>
      </right>
      <top style="thin">
        <color rgb="00D5DCE2"/>
      </top>
      <bottom style="thin">
        <color rgb="00D5DCE2"/>
      </bottom>
    </border>
    <border>
      <bottom style="thin">
        <color rgb="00D5DCE2"/>
      </bottom>
    </border>
    <border>
      <left style="medium">
        <color rgb="00FFFFFF"/>
      </left>
    </border>
    <border>
      <bottom style="thin">
        <color rgb="007DB73E"/>
      </bottom>
    </border>
    <border>
      <bottom style="medium">
        <color rgb="007DB73E"/>
      </bottom>
    </border>
    <border>
      <left style="medium">
        <color rgb="00FFFFFF"/>
      </left>
      <right style="medium">
        <color rgb="00FFFFFF"/>
      </right>
    </border>
    <border>
      <left style="medium">
        <color rgb="00FFFFFF"/>
      </left>
      <right style="medium">
        <color rgb="00FFFFFF"/>
      </right>
      <bottom style="thin">
        <color rgb="00D5DCE2"/>
      </bottom>
    </border>
    <border>
      <left style="thin">
        <color rgb="00FFFFFF"/>
      </left>
      <right style="thin">
        <color rgb="00FFFFFF"/>
      </right>
    </border>
  </borders>
  <cellStyleXfs count="1">
    <xf numFmtId="0" fontId="0" fillId="0" borderId="0"/>
  </cellStyleXfs>
  <cellXfs count="223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bottom"/>
    </xf>
    <xf numFmtId="0" fontId="2" fillId="2" borderId="0" applyAlignment="1" pivotButton="0" quotePrefix="0" xfId="0">
      <alignment horizontal="left" vertical="top" wrapText="1"/>
    </xf>
    <xf numFmtId="0" fontId="0" fillId="3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 indent="1"/>
    </xf>
    <xf numFmtId="0" fontId="6" fillId="5" borderId="1" applyAlignment="1" applyProtection="1" pivotButton="0" quotePrefix="0" xfId="0">
      <alignment horizontal="left" vertical="center" wrapText="1"/>
      <protection locked="0" hidden="0"/>
    </xf>
    <xf numFmtId="0" fontId="0" fillId="5" borderId="1" applyProtection="1" pivotButton="0" quotePrefix="0" xfId="0">
      <protection locked="0" hidden="0"/>
    </xf>
    <xf numFmtId="0" fontId="7" fillId="0" borderId="0" applyAlignment="1" pivotButton="0" quotePrefix="0" xfId="0">
      <alignment horizontal="left" vertical="center"/>
    </xf>
    <xf numFmtId="0" fontId="8" fillId="6" borderId="2" applyAlignment="1" pivotButton="0" quotePrefix="0" xfId="0">
      <alignment horizontal="left" vertical="center" wrapText="1"/>
    </xf>
    <xf numFmtId="0" fontId="0" fillId="6" borderId="2" pivotButton="0" quotePrefix="0" xfId="0"/>
    <xf numFmtId="0" fontId="9" fillId="0" borderId="0" applyAlignment="1" pivotButton="0" quotePrefix="0" xfId="0">
      <alignment horizontal="left" vertical="center" wrapText="1" indent="1"/>
    </xf>
    <xf numFmtId="0" fontId="10" fillId="4" borderId="0" applyAlignment="1" pivotButton="0" quotePrefix="0" xfId="0">
      <alignment horizontal="left" vertical="center" wrapText="1"/>
    </xf>
    <xf numFmtId="0" fontId="0" fillId="0" borderId="3" pivotButton="0" quotePrefix="0" xfId="0"/>
    <xf numFmtId="0" fontId="11" fillId="0" borderId="3" applyAlignment="1" pivotButton="0" quotePrefix="0" xfId="0">
      <alignment horizontal="left" vertical="center"/>
    </xf>
    <xf numFmtId="0" fontId="12" fillId="0" borderId="3" applyAlignment="1" pivotButton="0" quotePrefix="0" xfId="0">
      <alignment horizontal="left" vertical="center" wrapText="1"/>
    </xf>
    <xf numFmtId="0" fontId="13" fillId="0" borderId="3" applyAlignment="1" pivotButton="0" quotePrefix="0" xfId="0">
      <alignment horizontal="left" vertical="center" wrapText="1"/>
    </xf>
    <xf numFmtId="0" fontId="5" fillId="7" borderId="0" applyAlignment="1" pivotButton="0" quotePrefix="0" xfId="0">
      <alignment horizontal="left" vertical="center" wrapText="1"/>
    </xf>
    <xf numFmtId="0" fontId="0" fillId="7" borderId="0" pivotButton="0" quotePrefix="0" xfId="0"/>
    <xf numFmtId="0" fontId="14" fillId="0" borderId="3" applyAlignment="1" pivotButton="0" quotePrefix="0" xfId="0">
      <alignment horizontal="center" vertical="bottom" wrapText="1"/>
    </xf>
    <xf numFmtId="0" fontId="14" fillId="0" borderId="3" applyAlignment="1" pivotButton="0" quotePrefix="0" xfId="0">
      <alignment horizontal="left" vertical="bottom" wrapText="1" indent="1"/>
    </xf>
    <xf numFmtId="0" fontId="15" fillId="0" borderId="0" applyAlignment="1" pivotButton="0" quotePrefix="0" xfId="0">
      <alignment horizontal="left" vertical="center" wrapText="1"/>
    </xf>
    <xf numFmtId="164" fontId="6" fillId="5" borderId="1" applyAlignment="1" applyProtection="1" pivotButton="0" quotePrefix="0" xfId="0">
      <alignment horizontal="right" vertical="center" wrapText="1"/>
      <protection locked="0" hidden="0"/>
    </xf>
    <xf numFmtId="165" fontId="6" fillId="5" borderId="1" applyAlignment="1" applyProtection="1" pivotButton="0" quotePrefix="0" xfId="0">
      <alignment horizontal="right" vertical="center" wrapText="1"/>
      <protection locked="0" hidden="0"/>
    </xf>
    <xf numFmtId="1" fontId="6" fillId="5" borderId="1" applyAlignment="1" applyProtection="1" pivotButton="0" quotePrefix="0" xfId="0">
      <alignment horizontal="right" vertical="center" wrapText="1"/>
      <protection locked="0" hidden="0"/>
    </xf>
    <xf numFmtId="1" fontId="8" fillId="6" borderId="2" applyAlignment="1" pivotButton="0" quotePrefix="0" xfId="0">
      <alignment horizontal="center" vertical="center" wrapText="1"/>
    </xf>
    <xf numFmtId="1" fontId="7" fillId="0" borderId="0" applyAlignment="1" pivotButton="0" quotePrefix="0" xfId="0">
      <alignment horizontal="center" vertical="center"/>
    </xf>
    <xf numFmtId="0" fontId="6" fillId="5" borderId="1" applyAlignment="1" applyProtection="1" pivotButton="0" quotePrefix="0" xfId="0">
      <alignment horizontal="center" vertical="center" wrapText="1"/>
      <protection locked="0" hidden="0"/>
    </xf>
    <xf numFmtId="0" fontId="8" fillId="6" borderId="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9" fontId="6" fillId="5" borderId="1" applyAlignment="1" applyProtection="1" pivotButton="0" quotePrefix="0" xfId="0">
      <alignment horizontal="right" vertical="center" wrapText="1"/>
      <protection locked="0" hidden="0"/>
    </xf>
    <xf numFmtId="9" fontId="8" fillId="6" borderId="2" applyAlignment="1" pivotButton="0" quotePrefix="0" xfId="0">
      <alignment horizontal="center" vertical="center" wrapText="1"/>
    </xf>
    <xf numFmtId="9" fontId="7" fillId="0" borderId="0" applyAlignment="1" pivotButton="0" quotePrefix="0" xfId="0">
      <alignment horizontal="center" vertical="center"/>
    </xf>
    <xf numFmtId="0" fontId="16" fillId="0" borderId="0" applyAlignment="1" pivotButton="0" quotePrefix="0" xfId="0">
      <alignment horizontal="left" vertical="center" wrapText="1"/>
    </xf>
    <xf numFmtId="166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left" vertical="center" wrapText="1" indent="1"/>
    </xf>
    <xf numFmtId="0" fontId="14" fillId="0" borderId="0" applyAlignment="1" pivotButton="0" quotePrefix="0" xfId="0">
      <alignment horizontal="left" vertical="center" wrapText="1"/>
    </xf>
    <xf numFmtId="0" fontId="19" fillId="8" borderId="0" applyAlignment="1" pivotButton="0" quotePrefix="0" xfId="0">
      <alignment horizontal="center" vertical="center" wrapText="1"/>
    </xf>
    <xf numFmtId="0" fontId="21" fillId="0" borderId="0" applyAlignment="1" pivotButton="0" quotePrefix="0" xfId="0">
      <alignment horizontal="left" vertical="center"/>
    </xf>
    <xf numFmtId="166" fontId="7" fillId="0" borderId="0" applyAlignment="1" pivotButton="0" quotePrefix="0" xfId="0">
      <alignment horizontal="center" vertical="center"/>
    </xf>
    <xf numFmtId="166" fontId="20" fillId="0" borderId="0" applyAlignment="1" pivotButton="0" quotePrefix="0" xfId="0">
      <alignment horizontal="center" vertical="center" wrapText="1"/>
    </xf>
    <xf numFmtId="166" fontId="22" fillId="0" borderId="0" applyAlignment="1" pivotButton="0" quotePrefix="0" xfId="0">
      <alignment horizontal="center" vertical="center" wrapText="1"/>
    </xf>
    <xf numFmtId="1" fontId="22" fillId="0" borderId="0" applyAlignment="1" pivotButton="0" quotePrefix="0" xfId="0">
      <alignment horizontal="center" vertical="center" wrapText="1"/>
    </xf>
    <xf numFmtId="166" fontId="7" fillId="0" borderId="0" applyAlignment="1" pivotButton="0" quotePrefix="0" xfId="0">
      <alignment horizontal="right" vertical="center"/>
    </xf>
    <xf numFmtId="0" fontId="23" fillId="0" borderId="0" applyAlignment="1" pivotButton="0" quotePrefix="0" xfId="0">
      <alignment horizontal="left" vertical="center" wrapText="1" indent="1"/>
    </xf>
    <xf numFmtId="165" fontId="7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left" vertical="center"/>
    </xf>
    <xf numFmtId="0" fontId="24" fillId="0" borderId="0" applyAlignment="1" pivotButton="0" quotePrefix="0" xfId="0">
      <alignment horizontal="left" vertical="center" wrapText="1"/>
    </xf>
    <xf numFmtId="166" fontId="25" fillId="0" borderId="0" applyAlignment="1" pivotButton="0" quotePrefix="0" xfId="0">
      <alignment horizontal="center" vertical="center"/>
    </xf>
    <xf numFmtId="0" fontId="24" fillId="0" borderId="0" applyAlignment="1" pivotButton="0" quotePrefix="0" xfId="0">
      <alignment horizontal="left" vertical="center" wrapText="1" indent="1"/>
    </xf>
    <xf numFmtId="167" fontId="22" fillId="0" borderId="0" applyAlignment="1" pivotButton="0" quotePrefix="0" xfId="0">
      <alignment horizontal="center" vertical="center" wrapText="1"/>
    </xf>
    <xf numFmtId="0" fontId="26" fillId="4" borderId="0" applyAlignment="1" pivotButton="0" quotePrefix="0" xfId="0">
      <alignment horizontal="left" vertical="center" wrapText="1"/>
    </xf>
    <xf numFmtId="0" fontId="10" fillId="4" borderId="0" applyAlignment="1" pivotButton="0" quotePrefix="0" xfId="0">
      <alignment horizontal="center" vertical="center"/>
    </xf>
    <xf numFmtId="0" fontId="15" fillId="0" borderId="3" applyAlignment="1" pivotButton="0" quotePrefix="0" xfId="0">
      <alignment horizontal="left" vertical="center" wrapText="1"/>
    </xf>
    <xf numFmtId="166" fontId="25" fillId="0" borderId="3" applyAlignment="1" pivotButton="0" quotePrefix="0" xfId="0">
      <alignment horizontal="center" vertical="center"/>
    </xf>
    <xf numFmtId="166" fontId="28" fillId="0" borderId="3" applyAlignment="1" pivotButton="0" quotePrefix="0" xfId="0">
      <alignment horizontal="center" vertical="center" wrapText="1"/>
    </xf>
    <xf numFmtId="0" fontId="27" fillId="0" borderId="3" applyAlignment="1" pivotButton="0" quotePrefix="0" xfId="0">
      <alignment horizontal="left" vertical="center" wrapText="1"/>
    </xf>
    <xf numFmtId="166" fontId="29" fillId="0" borderId="3" applyAlignment="1" pivotButton="0" quotePrefix="0" xfId="0">
      <alignment horizontal="center" vertical="center" wrapText="1"/>
    </xf>
    <xf numFmtId="0" fontId="30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left" vertical="center" wrapText="1" indent="1"/>
    </xf>
    <xf numFmtId="0" fontId="31" fillId="4" borderId="0" applyAlignment="1" pivotButton="0" quotePrefix="0" xfId="0">
      <alignment horizontal="center" vertical="center" wrapText="1"/>
    </xf>
    <xf numFmtId="0" fontId="32" fillId="0" borderId="3" applyAlignment="1" pivotButton="0" quotePrefix="0" xfId="0">
      <alignment horizontal="center" vertical="center" wrapText="1"/>
    </xf>
    <xf numFmtId="0" fontId="33" fillId="0" borderId="3" applyAlignment="1" pivotButton="0" quotePrefix="0" xfId="0">
      <alignment horizontal="left" vertical="center" wrapText="1"/>
    </xf>
    <xf numFmtId="0" fontId="15" fillId="5" borderId="1" applyAlignment="1" applyProtection="1" pivotButton="0" quotePrefix="0" xfId="0">
      <alignment horizontal="center" vertical="center" wrapText="1"/>
      <protection locked="0" hidden="0"/>
    </xf>
    <xf numFmtId="165" fontId="15" fillId="5" borderId="1" applyAlignment="1" applyProtection="1" pivotButton="0" quotePrefix="0" xfId="0">
      <alignment horizontal="center" vertical="center" wrapText="1"/>
      <protection locked="0" hidden="0"/>
    </xf>
    <xf numFmtId="166" fontId="20" fillId="0" borderId="0" applyAlignment="1" pivotButton="0" quotePrefix="0" xfId="0">
      <alignment horizontal="center" vertical="center"/>
    </xf>
    <xf numFmtId="166" fontId="15" fillId="5" borderId="1" applyAlignment="1" applyProtection="1" pivotButton="0" quotePrefix="0" xfId="0">
      <alignment horizontal="center" vertical="center" wrapText="1"/>
      <protection locked="0" hidden="0"/>
    </xf>
    <xf numFmtId="0" fontId="33" fillId="5" borderId="1" applyAlignment="1" applyProtection="1" pivotButton="0" quotePrefix="0" xfId="0">
      <alignment horizontal="center" vertical="center" wrapText="1"/>
      <protection locked="0" hidden="0"/>
    </xf>
    <xf numFmtId="0" fontId="34" fillId="0" borderId="3" applyAlignment="1" pivotButton="0" quotePrefix="0" xfId="0">
      <alignment horizontal="left" vertical="center" wrapText="1" indent="1"/>
    </xf>
    <xf numFmtId="9" fontId="15" fillId="5" borderId="1" applyAlignment="1" applyProtection="1" pivotButton="0" quotePrefix="0" xfId="0">
      <alignment horizontal="center" vertical="center" wrapText="1"/>
      <protection locked="0" hidden="0"/>
    </xf>
    <xf numFmtId="9" fontId="20" fillId="0" borderId="0" applyAlignment="1" pivotButton="0" quotePrefix="0" xfId="0">
      <alignment horizontal="center" vertical="center"/>
    </xf>
    <xf numFmtId="166" fontId="35" fillId="0" borderId="0" applyAlignment="1" pivotButton="0" quotePrefix="0" xfId="0">
      <alignment horizontal="center" vertical="center"/>
    </xf>
    <xf numFmtId="0" fontId="36" fillId="0" borderId="0" applyAlignment="1" pivotButton="0" quotePrefix="0" xfId="0">
      <alignment horizontal="left" vertical="center" wrapText="1" indent="1"/>
    </xf>
    <xf numFmtId="0" fontId="37" fillId="0" borderId="0" applyAlignment="1" pivotButton="0" quotePrefix="0" xfId="0">
      <alignment horizontal="left" vertical="center" wrapText="1" indent="1"/>
    </xf>
    <xf numFmtId="0" fontId="38" fillId="6" borderId="2" applyAlignment="1" pivotButton="0" quotePrefix="0" xfId="0">
      <alignment horizontal="center" vertical="center" wrapText="1"/>
    </xf>
    <xf numFmtId="0" fontId="39" fillId="5" borderId="1" applyAlignment="1" applyProtection="1" pivotButton="0" quotePrefix="0" xfId="0">
      <alignment horizontal="center" vertical="center" wrapText="1"/>
      <protection locked="0" hidden="0"/>
    </xf>
    <xf numFmtId="0" fontId="40" fillId="0" borderId="0" applyAlignment="1" pivotButton="0" quotePrefix="0" xfId="0">
      <alignment horizontal="center" vertical="center"/>
    </xf>
    <xf numFmtId="0" fontId="41" fillId="0" borderId="0" applyAlignment="1" pivotButton="0" quotePrefix="0" xfId="0">
      <alignment horizontal="left" vertical="center" wrapText="1" indent="1"/>
    </xf>
    <xf numFmtId="0" fontId="24" fillId="0" borderId="3" applyAlignment="1" pivotButton="0" quotePrefix="0" xfId="0">
      <alignment horizontal="left" vertical="center" wrapText="1" indent="1"/>
    </xf>
    <xf numFmtId="0" fontId="42" fillId="7" borderId="0" applyAlignment="1" pivotButton="0" quotePrefix="0" xfId="0">
      <alignment horizontal="left" vertical="center" wrapText="1" indent="1"/>
    </xf>
    <xf numFmtId="0" fontId="22" fillId="0" borderId="0" applyAlignment="1" pivotButton="0" quotePrefix="0" xfId="0">
      <alignment horizontal="left" vertical="center"/>
    </xf>
    <xf numFmtId="0" fontId="22" fillId="0" borderId="0" applyAlignment="1" pivotButton="0" quotePrefix="0" xfId="0">
      <alignment horizontal="right" vertical="center"/>
    </xf>
    <xf numFmtId="1" fontId="22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 wrapText="1"/>
    </xf>
    <xf numFmtId="0" fontId="43" fillId="0" borderId="3" applyAlignment="1" pivotButton="0" quotePrefix="0" xfId="0">
      <alignment horizontal="center" vertical="center" wrapText="1"/>
    </xf>
    <xf numFmtId="168" fontId="44" fillId="6" borderId="2" applyAlignment="1" pivotButton="0" quotePrefix="0" xfId="0">
      <alignment horizontal="center" vertical="center" wrapText="1"/>
    </xf>
    <xf numFmtId="168" fontId="15" fillId="5" borderId="1" applyAlignment="1" applyProtection="1" pivotButton="0" quotePrefix="0" xfId="0">
      <alignment horizontal="right" vertical="center" wrapText="1"/>
      <protection locked="0" hidden="0"/>
    </xf>
    <xf numFmtId="168" fontId="20" fillId="0" borderId="0" applyAlignment="1" pivotButton="0" quotePrefix="0" xfId="0">
      <alignment horizontal="right" vertical="center"/>
    </xf>
    <xf numFmtId="169" fontId="15" fillId="5" borderId="1" applyAlignment="1" applyProtection="1" pivotButton="0" quotePrefix="0" xfId="0">
      <alignment horizontal="center" vertical="center" wrapText="1"/>
      <protection locked="0" hidden="0"/>
    </xf>
    <xf numFmtId="170" fontId="40" fillId="0" borderId="0" applyAlignment="1" pivotButton="0" quotePrefix="0" xfId="0">
      <alignment horizontal="center" vertical="center"/>
    </xf>
    <xf numFmtId="171" fontId="15" fillId="5" borderId="1" applyAlignment="1" applyProtection="1" pivotButton="0" quotePrefix="0" xfId="0">
      <alignment horizontal="center" vertical="center" wrapText="1"/>
      <protection locked="0" hidden="0"/>
    </xf>
    <xf numFmtId="172" fontId="15" fillId="5" borderId="1" applyAlignment="1" applyProtection="1" pivotButton="0" quotePrefix="0" xfId="0">
      <alignment horizontal="center" vertical="center" wrapText="1"/>
      <protection locked="0" hidden="0"/>
    </xf>
    <xf numFmtId="168" fontId="25" fillId="0" borderId="0" applyAlignment="1" pivotButton="0" quotePrefix="0" xfId="0">
      <alignment horizontal="right" vertical="center"/>
    </xf>
    <xf numFmtId="0" fontId="45" fillId="0" borderId="3" applyAlignment="1" pivotButton="0" quotePrefix="0" xfId="0">
      <alignment horizontal="center" vertical="center" wrapText="1"/>
    </xf>
    <xf numFmtId="1" fontId="44" fillId="6" borderId="2" applyAlignment="1" pivotButton="0" quotePrefix="0" xfId="0">
      <alignment horizontal="center" vertical="center" wrapText="1"/>
    </xf>
    <xf numFmtId="1" fontId="15" fillId="5" borderId="1" applyAlignment="1" applyProtection="1" pivotButton="0" quotePrefix="0" xfId="0">
      <alignment horizontal="center" vertical="center" wrapText="1"/>
      <protection locked="0" hidden="0"/>
    </xf>
    <xf numFmtId="1" fontId="20" fillId="0" borderId="0" applyAlignment="1" pivotButton="0" quotePrefix="0" xfId="0">
      <alignment horizontal="center" vertical="center"/>
    </xf>
    <xf numFmtId="0" fontId="43" fillId="0" borderId="3" applyAlignment="1" pivotButton="0" quotePrefix="0" xfId="0">
      <alignment horizontal="left" vertical="center" wrapText="1" indent="1"/>
    </xf>
    <xf numFmtId="9" fontId="44" fillId="6" borderId="2" applyAlignment="1" pivotButton="0" quotePrefix="0" xfId="0">
      <alignment horizontal="center" vertical="center" wrapText="1"/>
    </xf>
    <xf numFmtId="0" fontId="33" fillId="0" borderId="0" applyAlignment="1" pivotButton="0" quotePrefix="0" xfId="0">
      <alignment horizontal="left" vertical="center" wrapText="1"/>
    </xf>
    <xf numFmtId="0" fontId="43" fillId="0" borderId="0" applyAlignment="1" pivotButton="0" quotePrefix="0" xfId="0">
      <alignment horizontal="right" vertical="center"/>
    </xf>
    <xf numFmtId="173" fontId="46" fillId="0" borderId="0" applyAlignment="1" pivotButton="0" quotePrefix="0" xfId="0">
      <alignment horizontal="left" vertical="center"/>
    </xf>
    <xf numFmtId="174" fontId="46" fillId="0" borderId="0" applyAlignment="1" pivotButton="0" quotePrefix="0" xfId="0">
      <alignment horizontal="left" vertical="center"/>
    </xf>
    <xf numFmtId="0" fontId="42" fillId="0" borderId="3" applyAlignment="1" pivotButton="0" quotePrefix="0" xfId="0">
      <alignment horizontal="left" vertical="center" wrapText="1" indent="1"/>
    </xf>
    <xf numFmtId="0" fontId="42" fillId="0" borderId="0" applyAlignment="1" pivotButton="0" quotePrefix="0" xfId="0">
      <alignment horizontal="left" vertical="center" wrapText="1" indent="1"/>
    </xf>
    <xf numFmtId="0" fontId="22" fillId="0" borderId="0" applyAlignment="1" pivotButton="0" quotePrefix="0" xfId="0">
      <alignment horizontal="center" vertical="center" wrapText="1"/>
    </xf>
    <xf numFmtId="0" fontId="22" fillId="0" borderId="0" applyAlignment="1" pivotButton="0" quotePrefix="0" xfId="0">
      <alignment horizontal="center" vertical="center"/>
    </xf>
    <xf numFmtId="168" fontId="22" fillId="0" borderId="0" applyAlignment="1" pivotButton="0" quotePrefix="0" xfId="0">
      <alignment horizontal="center" vertical="center" wrapText="1"/>
    </xf>
    <xf numFmtId="0" fontId="22" fillId="0" borderId="0" applyAlignment="1" pivotButton="0" quotePrefix="0" xfId="0">
      <alignment horizontal="left" vertical="center" wrapText="1"/>
    </xf>
    <xf numFmtId="0" fontId="31" fillId="4" borderId="0" applyAlignment="1" pivotButton="0" quotePrefix="0" xfId="0">
      <alignment horizontal="center" vertical="center"/>
    </xf>
    <xf numFmtId="175" fontId="12" fillId="0" borderId="3" applyAlignment="1" pivotButton="0" quotePrefix="0" xfId="0">
      <alignment horizontal="right" vertical="center"/>
    </xf>
    <xf numFmtId="0" fontId="39" fillId="0" borderId="3" applyAlignment="1" pivotButton="0" quotePrefix="0" xfId="0">
      <alignment horizontal="left" vertical="center" wrapText="1"/>
    </xf>
    <xf numFmtId="175" fontId="40" fillId="0" borderId="3" applyAlignment="1" pivotButton="0" quotePrefix="0" xfId="0">
      <alignment horizontal="right" vertical="center"/>
    </xf>
    <xf numFmtId="0" fontId="22" fillId="0" borderId="3" applyAlignment="1" pivotButton="0" quotePrefix="0" xfId="0">
      <alignment horizontal="left" vertical="center" wrapText="1"/>
    </xf>
    <xf numFmtId="0" fontId="4" fillId="4" borderId="4" applyAlignment="1" pivotButton="0" quotePrefix="0" xfId="0">
      <alignment horizontal="left" vertical="center" indent="1"/>
    </xf>
    <xf numFmtId="1" fontId="35" fillId="0" borderId="0" applyAlignment="1" pivotButton="0" quotePrefix="0" xfId="0">
      <alignment horizontal="center" vertical="center" wrapText="1"/>
    </xf>
    <xf numFmtId="0" fontId="30" fillId="0" borderId="0" applyAlignment="1" pivotButton="0" quotePrefix="0" xfId="0">
      <alignment horizontal="left" vertical="center" wrapText="1" indent="1"/>
    </xf>
    <xf numFmtId="0" fontId="31" fillId="4" borderId="0" applyAlignment="1" pivotButton="0" quotePrefix="0" xfId="0">
      <alignment horizontal="left" vertical="center" wrapText="1"/>
    </xf>
    <xf numFmtId="167" fontId="7" fillId="0" borderId="0" applyAlignment="1" pivotButton="0" quotePrefix="0" xfId="0">
      <alignment horizontal="center" vertical="center" wrapText="1"/>
    </xf>
    <xf numFmtId="0" fontId="33" fillId="0" borderId="3" applyAlignment="1" pivotButton="0" quotePrefix="0" xfId="0">
      <alignment horizontal="left" vertical="center" wrapText="1" indent="1"/>
    </xf>
    <xf numFmtId="0" fontId="5" fillId="0" borderId="3" applyAlignment="1" pivotButton="0" quotePrefix="0" xfId="0">
      <alignment horizontal="center" vertical="center" wrapText="1"/>
    </xf>
    <xf numFmtId="1" fontId="20" fillId="0" borderId="0" applyAlignment="1" pivotButton="0" quotePrefix="0" xfId="0">
      <alignment horizontal="center" vertical="center" wrapText="1"/>
    </xf>
    <xf numFmtId="167" fontId="20" fillId="0" borderId="0" applyAlignment="1" pivotButton="0" quotePrefix="0" xfId="0">
      <alignment horizontal="center" vertical="center"/>
    </xf>
    <xf numFmtId="169" fontId="7" fillId="0" borderId="0" applyAlignment="1" pivotButton="0" quotePrefix="0" xfId="0">
      <alignment horizontal="center" vertical="center" wrapText="1"/>
    </xf>
    <xf numFmtId="0" fontId="33" fillId="0" borderId="0" applyAlignment="1" pivotButton="0" quotePrefix="0" xfId="0">
      <alignment horizontal="left" vertical="center" indent="1"/>
    </xf>
    <xf numFmtId="165" fontId="7" fillId="0" borderId="0" applyAlignment="1" pivotButton="0" quotePrefix="0" xfId="0">
      <alignment horizontal="center" vertical="center" wrapText="1"/>
    </xf>
    <xf numFmtId="0" fontId="34" fillId="0" borderId="0" applyAlignment="1" pivotButton="0" quotePrefix="0" xfId="0">
      <alignment horizontal="left" vertical="center" wrapText="1" indent="1"/>
    </xf>
    <xf numFmtId="0" fontId="47" fillId="0" borderId="0" applyAlignment="1" pivotButton="0" quotePrefix="0" xfId="0">
      <alignment horizontal="left" vertical="center" wrapText="1" indent="1"/>
    </xf>
    <xf numFmtId="175" fontId="22" fillId="0" borderId="0" applyAlignment="1" pivotButton="0" quotePrefix="0" xfId="0">
      <alignment horizontal="right" vertical="center"/>
    </xf>
    <xf numFmtId="1" fontId="22" fillId="0" borderId="0" applyAlignment="1" pivotButton="0" quotePrefix="0" xfId="0">
      <alignment horizontal="right" vertical="center"/>
    </xf>
    <xf numFmtId="167" fontId="22" fillId="0" borderId="0" applyAlignment="1" pivotButton="0" quotePrefix="0" xfId="0">
      <alignment horizontal="right" vertical="center" wrapText="1"/>
    </xf>
    <xf numFmtId="0" fontId="48" fillId="0" borderId="0" applyAlignment="1" pivotButton="0" quotePrefix="0" xfId="0">
      <alignment horizontal="left" vertical="center"/>
    </xf>
    <xf numFmtId="0" fontId="47" fillId="0" borderId="0" applyAlignment="1" pivotButton="0" quotePrefix="0" xfId="0">
      <alignment horizontal="right" vertical="center"/>
    </xf>
    <xf numFmtId="0" fontId="39" fillId="9" borderId="5" applyAlignment="1" applyProtection="1" pivotButton="0" quotePrefix="0" xfId="0">
      <alignment horizontal="left" vertical="center" wrapText="1"/>
      <protection locked="0" hidden="0"/>
    </xf>
    <xf numFmtId="0" fontId="0" fillId="9" borderId="5" applyProtection="1" pivotButton="0" quotePrefix="0" xfId="0">
      <protection locked="0" hidden="0"/>
    </xf>
    <xf numFmtId="0" fontId="13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49" fillId="7" borderId="7" applyAlignment="1" pivotButton="0" quotePrefix="0" xfId="0">
      <alignment horizontal="center" vertical="center"/>
    </xf>
    <xf numFmtId="0" fontId="0" fillId="7" borderId="7" pivotButton="0" quotePrefix="0" xfId="0"/>
    <xf numFmtId="0" fontId="50" fillId="7" borderId="0" applyAlignment="1" pivotButton="0" quotePrefix="0" xfId="0">
      <alignment horizontal="center" vertical="center"/>
    </xf>
    <xf numFmtId="0" fontId="26" fillId="4" borderId="7" applyAlignment="1" pivotButton="0" quotePrefix="0" xfId="0">
      <alignment horizontal="left" vertical="center" indent="1"/>
    </xf>
    <xf numFmtId="0" fontId="0" fillId="4" borderId="7" pivotButton="0" quotePrefix="0" xfId="0"/>
    <xf numFmtId="0" fontId="51" fillId="7" borderId="7" applyAlignment="1" pivotButton="0" quotePrefix="0" xfId="0">
      <alignment horizontal="left" vertical="center" indent="1"/>
    </xf>
    <xf numFmtId="0" fontId="12" fillId="7" borderId="8" applyAlignment="1" pivotButton="0" quotePrefix="0" xfId="0">
      <alignment horizontal="left" vertical="top" wrapText="1" indent="1"/>
    </xf>
    <xf numFmtId="0" fontId="0" fillId="7" borderId="8" pivotButton="0" quotePrefix="0" xfId="0"/>
    <xf numFmtId="0" fontId="52" fillId="7" borderId="7" applyAlignment="1" pivotButton="0" quotePrefix="0" xfId="0">
      <alignment horizontal="left" vertical="center" indent="1"/>
    </xf>
    <xf numFmtId="0" fontId="33" fillId="5" borderId="1" applyAlignment="1" applyProtection="1" pivotButton="0" quotePrefix="0" xfId="0">
      <alignment horizontal="left" vertical="center" wrapText="1"/>
      <protection locked="0" hidden="0"/>
    </xf>
    <xf numFmtId="0" fontId="50" fillId="0" borderId="0" applyAlignment="1" pivotButton="0" quotePrefix="0" xfId="0">
      <alignment horizontal="left" vertical="center" indent="1"/>
    </xf>
    <xf numFmtId="0" fontId="50" fillId="0" borderId="0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53" fillId="0" borderId="0" applyAlignment="1" pivotButton="0" quotePrefix="0" xfId="0">
      <alignment horizontal="left" vertical="center" indent="1"/>
    </xf>
    <xf numFmtId="0" fontId="53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left" vertical="center" indent="1"/>
    </xf>
    <xf numFmtId="167" fontId="55" fillId="0" borderId="0" applyAlignment="1" pivotButton="0" quotePrefix="0" xfId="0">
      <alignment horizontal="center" vertical="center"/>
    </xf>
    <xf numFmtId="0" fontId="12" fillId="7" borderId="8" applyAlignment="1" pivotButton="0" quotePrefix="0" xfId="0">
      <alignment horizontal="left" vertical="center" wrapText="1" indent="1"/>
    </xf>
    <xf numFmtId="0" fontId="56" fillId="2" borderId="7" applyAlignment="1" pivotButton="0" quotePrefix="0" xfId="0">
      <alignment horizontal="left" vertical="center" indent="1"/>
    </xf>
    <xf numFmtId="0" fontId="0" fillId="2" borderId="7" pivotButton="0" quotePrefix="0" xfId="0"/>
    <xf numFmtId="0" fontId="56" fillId="2" borderId="7" applyAlignment="1" pivotButton="0" quotePrefix="0" xfId="0">
      <alignment horizontal="left" vertical="center" wrapText="1" indent="1"/>
    </xf>
    <xf numFmtId="0" fontId="10" fillId="2" borderId="7" applyAlignment="1" pivotButton="0" quotePrefix="0" xfId="0">
      <alignment horizontal="center" vertical="center"/>
    </xf>
    <xf numFmtId="0" fontId="57" fillId="10" borderId="7" applyAlignment="1" pivotButton="0" quotePrefix="0" xfId="0">
      <alignment horizontal="center" vertical="center"/>
    </xf>
    <xf numFmtId="0" fontId="0" fillId="10" borderId="7" pivotButton="0" quotePrefix="0" xfId="0"/>
    <xf numFmtId="0" fontId="58" fillId="0" borderId="0" applyAlignment="1" pivotButton="0" quotePrefix="0" xfId="0">
      <alignment horizontal="center" vertical="center"/>
    </xf>
    <xf numFmtId="0" fontId="33" fillId="0" borderId="3" applyAlignment="1" pivotButton="0" quotePrefix="0" xfId="0">
      <alignment horizontal="left" vertical="top" wrapText="1"/>
    </xf>
    <xf numFmtId="0" fontId="44" fillId="6" borderId="2" applyAlignment="1" pivotButton="0" quotePrefix="0" xfId="0">
      <alignment horizontal="left" vertical="top" wrapText="1"/>
    </xf>
    <xf numFmtId="0" fontId="24" fillId="5" borderId="1" applyAlignment="1" applyProtection="1" pivotButton="0" quotePrefix="0" xfId="0">
      <alignment horizontal="left" vertical="top" wrapText="1"/>
      <protection locked="0" hidden="0"/>
    </xf>
    <xf numFmtId="0" fontId="13" fillId="0" borderId="0" applyAlignment="1" pivotButton="0" quotePrefix="0" xfId="0">
      <alignment horizontal="center" vertical="top"/>
    </xf>
    <xf numFmtId="0" fontId="59" fillId="0" borderId="3" applyAlignment="1" pivotButton="0" quotePrefix="0" xfId="0">
      <alignment horizontal="center" vertical="center" wrapText="1"/>
    </xf>
    <xf numFmtId="0" fontId="15" fillId="5" borderId="1" applyAlignment="1" applyProtection="1" pivotButton="0" quotePrefix="0" xfId="0">
      <alignment horizontal="left" vertical="center" wrapText="1"/>
      <protection locked="0" hidden="0"/>
    </xf>
    <xf numFmtId="0" fontId="23" fillId="7" borderId="3" applyAlignment="1" pivotButton="0" quotePrefix="0" xfId="0">
      <alignment horizontal="left" vertical="center" wrapText="1"/>
    </xf>
    <xf numFmtId="0" fontId="60" fillId="0" borderId="0" applyAlignment="1" pivotButton="0" quotePrefix="0" xfId="0">
      <alignment horizontal="left" vertical="center" wrapText="1"/>
    </xf>
    <xf numFmtId="0" fontId="36" fillId="0" borderId="0" applyAlignment="1" pivotButton="0" quotePrefix="0" xfId="0">
      <alignment horizontal="left" vertical="center" wrapText="1"/>
    </xf>
    <xf numFmtId="0" fontId="31" fillId="4" borderId="0" applyAlignment="1" pivotButton="0" quotePrefix="0" xfId="0">
      <alignment horizontal="center" vertical="center"/>
    </xf>
    <xf numFmtId="0" fontId="34" fillId="0" borderId="3" applyAlignment="1" pivotButton="0" quotePrefix="0" xfId="0">
      <alignment horizontal="left" vertical="center" wrapText="1"/>
    </xf>
    <xf numFmtId="0" fontId="43" fillId="0" borderId="3" applyAlignment="1" pivotButton="0" quotePrefix="0" xfId="0">
      <alignment horizontal="left" vertical="center" wrapText="1"/>
    </xf>
    <xf numFmtId="0" fontId="19" fillId="0" borderId="3" applyAlignment="1" pivotButton="0" quotePrefix="0" xfId="0">
      <alignment horizontal="center" vertical="center" wrapText="1"/>
    </xf>
    <xf numFmtId="176" fontId="44" fillId="6" borderId="2" applyAlignment="1" pivotButton="0" quotePrefix="0" xfId="0">
      <alignment horizontal="center" vertical="center" wrapText="1"/>
    </xf>
    <xf numFmtId="176" fontId="15" fillId="5" borderId="1" applyAlignment="1" applyProtection="1" pivotButton="0" quotePrefix="0" xfId="0">
      <alignment horizontal="center" vertical="center" wrapText="1"/>
      <protection locked="0" hidden="0"/>
    </xf>
    <xf numFmtId="176" fontId="20" fillId="0" borderId="0" applyAlignment="1" pivotButton="0" quotePrefix="0" xfId="0">
      <alignment horizontal="center" vertical="center"/>
    </xf>
    <xf numFmtId="176" fontId="61" fillId="5" borderId="1" applyAlignment="1" applyProtection="1" pivotButton="0" quotePrefix="0" xfId="0">
      <alignment horizontal="center" vertical="center" wrapText="1"/>
      <protection locked="0" hidden="0"/>
    </xf>
    <xf numFmtId="177" fontId="44" fillId="6" borderId="2" applyAlignment="1" pivotButton="0" quotePrefix="0" xfId="0">
      <alignment horizontal="center" vertical="center" wrapText="1"/>
    </xf>
    <xf numFmtId="177" fontId="15" fillId="5" borderId="1" applyAlignment="1" applyProtection="1" pivotButton="0" quotePrefix="0" xfId="0">
      <alignment horizontal="center" vertical="center" wrapText="1"/>
      <protection locked="0" hidden="0"/>
    </xf>
    <xf numFmtId="177" fontId="20" fillId="0" borderId="0" applyAlignment="1" pivotButton="0" quotePrefix="0" xfId="0">
      <alignment horizontal="center" vertical="center"/>
    </xf>
    <xf numFmtId="0" fontId="62" fillId="0" borderId="3" applyAlignment="1" pivotButton="0" quotePrefix="0" xfId="0">
      <alignment horizontal="center" vertical="center" wrapText="1"/>
    </xf>
    <xf numFmtId="177" fontId="61" fillId="5" borderId="1" applyAlignment="1" applyProtection="1" pivotButton="0" quotePrefix="0" xfId="0">
      <alignment horizontal="center" vertical="center" wrapText="1"/>
      <protection locked="0" hidden="0"/>
    </xf>
    <xf numFmtId="9" fontId="61" fillId="5" borderId="1" applyAlignment="1" applyProtection="1" pivotButton="0" quotePrefix="0" xfId="0">
      <alignment horizontal="center" vertical="center" wrapText="1"/>
      <protection locked="0" hidden="0"/>
    </xf>
    <xf numFmtId="0" fontId="60" fillId="0" borderId="0" applyAlignment="1" pivotButton="0" quotePrefix="0" xfId="0">
      <alignment horizontal="center" vertical="center"/>
    </xf>
    <xf numFmtId="0" fontId="24" fillId="5" borderId="1" applyAlignment="1" applyProtection="1" pivotButton="0" quotePrefix="0" xfId="0">
      <alignment horizontal="left" vertical="center" wrapText="1"/>
      <protection locked="0" hidden="0"/>
    </xf>
    <xf numFmtId="0" fontId="9" fillId="0" borderId="3" applyAlignment="1" pivotButton="0" quotePrefix="0" xfId="0">
      <alignment horizontal="left" vertical="center" wrapText="1" indent="1"/>
    </xf>
    <xf numFmtId="0" fontId="4" fillId="11" borderId="0" applyAlignment="1" pivotButton="0" quotePrefix="0" xfId="0">
      <alignment horizontal="left" vertical="center" indent="1"/>
    </xf>
    <xf numFmtId="0" fontId="0" fillId="11" borderId="0" pivotButton="0" quotePrefix="0" xfId="0"/>
    <xf numFmtId="0" fontId="5" fillId="0" borderId="3" applyAlignment="1" pivotButton="0" quotePrefix="0" xfId="0">
      <alignment horizontal="left" vertical="center" wrapText="1"/>
    </xf>
    <xf numFmtId="178" fontId="15" fillId="5" borderId="1" applyAlignment="1" applyProtection="1" pivotButton="0" quotePrefix="0" xfId="0">
      <alignment horizontal="center" vertical="center" wrapText="1"/>
      <protection locked="0" hidden="0"/>
    </xf>
    <xf numFmtId="0" fontId="14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7" fillId="0" borderId="0" applyAlignment="1" pivotButton="0" quotePrefix="0" xfId="0">
      <alignment horizontal="right" vertical="center"/>
    </xf>
    <xf numFmtId="0" fontId="63" fillId="4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right" vertical="center" wrapText="1"/>
    </xf>
    <xf numFmtId="0" fontId="59" fillId="0" borderId="0" applyAlignment="1" pivotButton="0" quotePrefix="0" xfId="0">
      <alignment horizontal="center" vertical="center" wrapText="1"/>
    </xf>
    <xf numFmtId="0" fontId="24" fillId="0" borderId="3" applyAlignment="1" pivotButton="0" quotePrefix="0" xfId="0">
      <alignment horizontal="left" vertical="center" wrapText="1"/>
    </xf>
    <xf numFmtId="1" fontId="25" fillId="0" borderId="0" applyAlignment="1" pivotButton="0" quotePrefix="0" xfId="0">
      <alignment horizontal="center" vertical="center"/>
    </xf>
    <xf numFmtId="0" fontId="64" fillId="0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left" vertical="center" wrapText="1"/>
    </xf>
    <xf numFmtId="0" fontId="15" fillId="0" borderId="3" applyAlignment="1" pivotButton="0" quotePrefix="0" xfId="0">
      <alignment horizontal="left" vertical="center" wrapText="1" indent="1"/>
    </xf>
    <xf numFmtId="0" fontId="12" fillId="0" borderId="3" applyAlignment="1" pivotButton="0" quotePrefix="0" xfId="0">
      <alignment horizontal="left" vertical="center" wrapText="1" indent="1"/>
    </xf>
    <xf numFmtId="0" fontId="12" fillId="0" borderId="3" applyAlignment="1" pivotButton="0" quotePrefix="0" xfId="0">
      <alignment horizontal="left" vertical="center"/>
    </xf>
    <xf numFmtId="165" fontId="60" fillId="0" borderId="3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/>
    </xf>
    <xf numFmtId="165" fontId="65" fillId="0" borderId="0" applyAlignment="1" pivotButton="0" quotePrefix="0" xfId="0">
      <alignment horizontal="center" vertical="center" wrapText="1"/>
    </xf>
    <xf numFmtId="0" fontId="19" fillId="0" borderId="3" applyAlignment="1" pivotButton="0" quotePrefix="0" xfId="0">
      <alignment horizontal="center" vertical="top" wrapText="1"/>
    </xf>
    <xf numFmtId="0" fontId="61" fillId="0" borderId="3" applyAlignment="1" pivotButton="0" quotePrefix="0" xfId="0">
      <alignment horizontal="left" vertical="top" wrapText="1"/>
    </xf>
    <xf numFmtId="0" fontId="34" fillId="0" borderId="3" applyAlignment="1" pivotButton="0" quotePrefix="0" xfId="0">
      <alignment horizontal="left" vertical="top" wrapText="1"/>
    </xf>
    <xf numFmtId="0" fontId="43" fillId="0" borderId="3" applyAlignment="1" pivotButton="0" quotePrefix="0" xfId="0">
      <alignment horizontal="left" vertical="top" wrapText="1"/>
    </xf>
    <xf numFmtId="0" fontId="66" fillId="0" borderId="3" applyAlignment="1" pivotButton="0" quotePrefix="0" xfId="0">
      <alignment horizontal="left" vertical="top" wrapText="1"/>
    </xf>
    <xf numFmtId="0" fontId="59" fillId="0" borderId="3" applyAlignment="1" pivotButton="0" quotePrefix="0" xfId="0">
      <alignment horizontal="left" vertical="center" wrapText="1"/>
    </xf>
    <xf numFmtId="0" fontId="64" fillId="0" borderId="3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top" wrapText="1"/>
    </xf>
    <xf numFmtId="0" fontId="18" fillId="0" borderId="0" applyAlignment="1" pivotButton="0" quotePrefix="0" xfId="0">
      <alignment horizontal="left" vertical="center" wrapText="1"/>
    </xf>
    <xf numFmtId="0" fontId="6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17">
    <dxf>
      <fill>
        <patternFill patternType="solid">
          <fgColor rgb="00E3EAF1"/>
          <bgColor rgb="00E3EAF1"/>
        </patternFill>
      </fill>
    </dxf>
    <dxf>
      <font>
        <color rgb="009AA4AD"/>
      </font>
    </dxf>
    <dxf>
      <fill>
        <patternFill patternType="solid">
          <fgColor rgb="00E1E5E9"/>
          <bgColor rgb="00E1E5E9"/>
        </patternFill>
      </fill>
    </dxf>
    <dxf>
      <font>
        <color rgb="00E06650"/>
      </font>
    </dxf>
    <dxf>
      <font>
        <color rgb="005A6770"/>
      </font>
      <fill>
        <patternFill patternType="solid">
          <fgColor rgb="00EEF1F4"/>
          <bgColor rgb="00EEF1F4"/>
        </patternFill>
      </fill>
    </dxf>
    <dxf>
      <fill>
        <patternFill patternType="solid">
          <fgColor rgb="00DCEBC8"/>
          <bgColor rgb="00DCEBC8"/>
        </patternFill>
      </fill>
    </dxf>
    <dxf>
      <fill>
        <patternFill patternType="solid">
          <fgColor rgb="00B5D48A"/>
          <bgColor rgb="00B5D48A"/>
        </patternFill>
      </fill>
    </dxf>
    <dxf>
      <font>
        <b val="1"/>
        <color rgb="00FFFFFF"/>
      </font>
      <fill>
        <patternFill patternType="solid">
          <fgColor rgb="007DB73E"/>
          <bgColor rgb="007DB73E"/>
        </patternFill>
      </fill>
    </dxf>
    <dxf>
      <font>
        <color rgb="00808080"/>
      </font>
      <fill>
        <patternFill patternType="solid">
          <fgColor rgb="00E1E5E9"/>
          <bgColor rgb="00E1E5E9"/>
        </patternFill>
      </fill>
    </dxf>
    <dxf>
      <font>
        <color rgb="006BA02E"/>
      </font>
      <fill>
        <patternFill patternType="solid">
          <fgColor rgb="00EAF3DE"/>
          <bgColor rgb="00EAF3DE"/>
        </patternFill>
      </fill>
    </dxf>
    <dxf>
      <font>
        <color rgb="00E06650"/>
      </font>
      <fill>
        <patternFill patternType="solid">
          <fgColor rgb="00F9DDD8"/>
          <bgColor rgb="00F9DDD8"/>
        </patternFill>
      </fill>
    </dxf>
    <dxf>
      <font>
        <b val="1"/>
        <color rgb="00E06650"/>
      </font>
    </dxf>
    <dxf>
      <fill>
        <patternFill patternType="solid">
          <fgColor rgb="00EAF3DE"/>
          <bgColor rgb="00EAF3DE"/>
        </patternFill>
      </fill>
    </dxf>
    <dxf>
      <fill>
        <patternFill patternType="solid">
          <fgColor rgb="00FFF4D6"/>
          <bgColor rgb="00FFF4D6"/>
        </patternFill>
      </fill>
    </dxf>
    <dxf>
      <fill>
        <patternFill patternType="solid">
          <fgColor rgb="00EEF1F4"/>
          <bgColor rgb="00EEF1F4"/>
        </patternFill>
      </fill>
    </dxf>
    <dxf>
      <font>
        <b val="1"/>
        <color rgb="006BA02E"/>
      </font>
      <fill>
        <patternFill patternType="solid">
          <fgColor rgb="00EAF3DE"/>
          <bgColor rgb="00EAF3DE"/>
        </patternFill>
      </fill>
    </dxf>
    <dxf>
      <font>
        <b val="1"/>
      </font>
      <fill>
        <patternFill patternType="solid">
          <fgColor rgb="00E3EAF1"/>
          <bgColor rgb="00E3EAF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Cumulative net</v>
          </tx>
          <spPr>
            <a:ln xmlns:a="http://schemas.openxmlformats.org/drawingml/2006/main" w="28575">
              <a:solidFill>
                <a:srgbClr val="6BA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'3b Payback'!$B$81:$B$104</f>
            </numRef>
          </cat>
          <val>
            <numRef>
              <f>'3b Payback'!$C$81:$C$104</f>
            </numRef>
          </val>
          <smooth val="0"/>
        </ser>
        <ser>
          <idx val="1"/>
          <order val="1"/>
          <tx>
            <v>Cumulative value captured</v>
          </tx>
          <spPr>
            <a:ln xmlns:a="http://schemas.openxmlformats.org/drawingml/2006/main" w="19050">
              <a:solidFill>
                <a:srgbClr val="0F2A4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'3b Payback'!$B$81:$B$104</f>
            </numRef>
          </cat>
          <val>
            <numRef>
              <f>'3b Payback'!$D$81:$D$104</f>
            </numRef>
          </val>
          <smooth val="0"/>
        </ser>
        <ser>
          <idx val="2"/>
          <order val="2"/>
          <tx>
            <v>Cumulative spend</v>
          </tx>
          <spPr>
            <a:ln xmlns:a="http://schemas.openxmlformats.org/drawingml/2006/main" w="19050">
              <a:solidFill>
                <a:srgbClr val="E0665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'3b Payback'!$B$81:$B$104</f>
            </numRef>
          </cat>
          <val>
            <numRef>
              <f>'3b Payback'!$E$81:$E$104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$#,##0,&quot;K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495300</colOff>
      <row>0</row>
      <rowOff>180975</rowOff>
    </from>
    <ext cx="10763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2085975</colOff>
      <row>0</row>
      <rowOff>180975</rowOff>
    </from>
    <ext cx="12954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34</row>
      <rowOff>0</rowOff>
    </from>
    <ext cx="86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91C32"/>
    <outlinePr summaryBelow="1" summaryRight="1"/>
    <pageSetUpPr fitToPage="1"/>
  </sheetPr>
  <dimension ref="A1:G44"/>
  <sheetViews>
    <sheetView showGridLines="0" zoomScale="10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4" customWidth="1" min="1" max="1"/>
    <col width="5" customWidth="1" min="2" max="2"/>
    <col width="34" customWidth="1" min="3" max="3"/>
    <col width="44" customWidth="1" min="4" max="4"/>
    <col width="44" customWidth="1" min="5" max="5"/>
    <col width="24" customWidth="1" min="6" max="6"/>
    <col width="2.4" customWidth="1" min="7" max="7"/>
  </cols>
  <sheetData>
    <row r="1" ht="30" customHeight="1">
      <c r="A1" s="1" t="n"/>
      <c r="B1" s="2" t="inlineStr">
        <is>
          <t>The RGM Initiative Playbook</t>
        </is>
      </c>
      <c r="C1" s="1" t="n"/>
      <c r="D1" s="1" t="n"/>
      <c r="E1" s="1" t="n"/>
      <c r="F1" s="1" t="n"/>
      <c r="G1" s="1" t="n"/>
    </row>
    <row r="2" ht="32" customHeight="1">
      <c r="A2" s="1" t="n"/>
      <c r="B2" s="3" t="inlineStr">
        <is>
          <t>Business Case Planner · Revology Analytics &amp; Revify Analytics · September 2026 webinar edition · revologyanalytics.com · myrevify.com</t>
        </is>
      </c>
      <c r="C2" s="1" t="n"/>
      <c r="D2" s="1" t="n"/>
      <c r="E2" s="1" t="n"/>
      <c r="F2" s="1" t="n"/>
      <c r="G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</row>
    <row r="4" ht="16" customHeight="1">
      <c r="C4" s="5" t="inlineStr">
        <is>
          <t>Next →</t>
        </is>
      </c>
    </row>
    <row r="5" ht="4" customHeight="1"/>
    <row r="6" ht="17" customHeight="1">
      <c r="B6" s="6" t="inlineStr">
        <is>
          <t>WHAT THIS IS</t>
        </is>
      </c>
      <c r="C6" s="7" t="n"/>
      <c r="D6" s="7" t="n"/>
      <c r="E6" s="7" t="n"/>
      <c r="F6" s="7" t="n"/>
    </row>
    <row r="7" ht="56" customHeight="1">
      <c r="B7" s="8" t="inlineStr">
        <is>
          <t>The fill-in Business Case Canvas from the September 17 webinar, plus the calculators behind it and every companion piece we promised: the value levers, benchmarks by company size, the cost of waiting, a phased all-in investment with payback, the stakeholders and objections, the KPI tree, the self-check and the checklists that make it stick. About 45 minutes, left to right, and you finish with a one-page case your CFO can approve. (RGM = revenue growth management.)
It's budget season: warm up your CFO now, defend in November, lock in December. Miss it and the next window is a year away.</t>
        </is>
      </c>
    </row>
    <row r="8" ht="4" customHeight="1"/>
    <row r="9" ht="17" customHeight="1">
      <c r="B9" s="6" t="inlineStr">
        <is>
          <t>HOW TO USE IT · ABOUT 45 MINUTES</t>
        </is>
      </c>
      <c r="C9" s="7" t="n"/>
      <c r="D9" s="7" t="n"/>
      <c r="E9" s="7" t="n"/>
      <c r="F9" s="7" t="n"/>
    </row>
    <row r="10" ht="29" customHeight="1">
      <c r="B10" s="9" t="n">
        <v>1</v>
      </c>
      <c r="C10" s="10" t="inlineStr">
        <is>
          <t>Tab 1 (10 min): revenue, industry, margin, start date and route. Your planning prize, what 1% of price does to your operating profit, and the cost of doing nothing update from there.</t>
        </is>
      </c>
    </row>
    <row r="11" ht="18" customHeight="1">
      <c r="B11" s="9" t="n">
        <v>2</v>
      </c>
      <c r="C11" s="10" t="inlineStr">
        <is>
          <t>Tab 2 (10 min): pick up to three value levers and size them bottom-up. Choose whether the case runs on the conservative 1% rule or on your levers.</t>
        </is>
      </c>
    </row>
    <row r="12" ht="29" customHeight="1">
      <c r="B12" s="9" t="n">
        <v>3</v>
      </c>
      <c r="C12" s="10" t="inlineStr">
        <is>
          <t>Tabs 3–3b (10 min): the phased investment for your company size — adoption and your team's time included — with gates, a 24-month ramp and the payback month. Overwrite any number.</t>
        </is>
      </c>
    </row>
    <row r="13" ht="18" customHeight="1">
      <c r="B13" s="9" t="n">
        <v>4</v>
      </c>
      <c r="C13" s="10" t="inlineStr">
        <is>
          <t>Tab 4 (15 min): the one-pager. Print it (File → Print → Active sheet). Then tabs 5–7: pre-wire the five people, set the KPIs, plan the first week.</t>
        </is>
      </c>
    </row>
    <row r="14" ht="4" customHeight="1"/>
    <row r="15" ht="17" customHeight="1">
      <c r="B15" s="6" t="inlineStr">
        <is>
          <t>LEGEND</t>
        </is>
      </c>
      <c r="C15" s="7" t="n"/>
      <c r="D15" s="7" t="n"/>
      <c r="E15" s="7" t="n"/>
      <c r="F15" s="7" t="n"/>
    </row>
    <row r="16" ht="17" customHeight="1">
      <c r="B16" s="11" t="inlineStr">
        <is>
          <t>Green cell</t>
        </is>
      </c>
      <c r="C16" s="12" t="n"/>
      <c r="D16" s="10" t="inlineStr">
        <is>
          <t>Yours to fill in. These cells are unlocked.</t>
        </is>
      </c>
    </row>
    <row r="17" ht="17" customHeight="1">
      <c r="B17" s="13" t="inlineStr">
        <is>
          <t>Bold green</t>
        </is>
      </c>
      <c r="D17" s="10" t="inlineStr">
        <is>
          <t>Calculated for you. Locked, so a stray keystroke can't break a formula.</t>
        </is>
      </c>
    </row>
    <row r="18" ht="17" customHeight="1">
      <c r="B18" s="14" t="inlineStr">
        <is>
          <t>Grey-green</t>
        </is>
      </c>
      <c r="C18" s="15" t="n"/>
      <c r="D18" s="10" t="inlineStr">
        <is>
          <t>Suggested. Type your own number or wording in the green cell beside it; clear that cell to go back to the suggestion.</t>
        </is>
      </c>
    </row>
    <row r="19" ht="27" customHeight="1">
      <c r="B19" s="16" t="inlineStr">
        <is>
          <t>Sheets are protected without a password so Tab jumps between the green cells; Review → Unprotect Sheet if you need to change anything else. The one white input on the Canvas (“Prepared for”) is also yours to fill.</t>
        </is>
      </c>
    </row>
    <row r="20" ht="4" customHeight="1"/>
    <row r="21" ht="17" customHeight="1">
      <c r="B21" s="6" t="inlineStr">
        <is>
          <t>TAB INDEX · click a tab name to jump there</t>
        </is>
      </c>
      <c r="C21" s="7" t="n"/>
      <c r="D21" s="7" t="n"/>
      <c r="E21" s="7" t="n"/>
      <c r="F21" s="7" t="n"/>
    </row>
    <row r="22" ht="15" customHeight="1">
      <c r="B22" s="17" t="inlineStr"/>
      <c r="C22" s="17" t="inlineStr">
        <is>
          <t>Tab</t>
        </is>
      </c>
      <c r="D22" s="17" t="inlineStr">
        <is>
          <t>What it does</t>
        </is>
      </c>
      <c r="E22" s="7" t="n"/>
      <c r="F22" s="17" t="inlineStr">
        <is>
          <t>Question it answers</t>
        </is>
      </c>
    </row>
    <row r="23" ht="13.5" customHeight="1">
      <c r="B23" s="18" t="n"/>
      <c r="C23" s="19" t="inlineStr">
        <is>
          <t>Start Here</t>
        </is>
      </c>
      <c r="D23" s="20" t="inlineStr">
        <is>
          <t>What this is, how to use it, and the 45-minute path through the workbook.</t>
        </is>
      </c>
      <c r="E23" s="18" t="n"/>
      <c r="F23" s="21" t="inlineStr">
        <is>
          <t>—</t>
        </is>
      </c>
    </row>
    <row r="24" ht="13.5" customHeight="1">
      <c r="B24" s="18" t="n"/>
      <c r="C24" s="19" t="inlineStr">
        <is>
          <t>1 Company &amp; Prize</t>
        </is>
      </c>
      <c r="D24" s="20" t="inlineStr">
        <is>
          <t>Revenue, industry, margin, start date and route → your prize and the cost of waiting.</t>
        </is>
      </c>
      <c r="E24" s="18" t="n"/>
      <c r="F24" s="21" t="inlineStr">
        <is>
          <t>Q1 + Q4</t>
        </is>
      </c>
    </row>
    <row r="25" ht="13.5" customHeight="1">
      <c r="B25" s="18" t="n"/>
      <c r="C25" s="19" t="inlineStr">
        <is>
          <t>2 Pick Levers</t>
        </is>
      </c>
      <c r="D25" s="20" t="inlineStr">
        <is>
          <t>Pick up to three value levers and size them bottom-up; choose the basis the case uses.</t>
        </is>
      </c>
      <c r="E25" s="18" t="n"/>
      <c r="F25" s="21" t="inlineStr">
        <is>
          <t>Q1</t>
        </is>
      </c>
    </row>
    <row r="26" ht="13.5" customHeight="1">
      <c r="B26" s="18" t="n"/>
      <c r="C26" s="19" t="inlineStr">
        <is>
          <t>3 Investment</t>
        </is>
      </c>
      <c r="D26" s="20" t="inlineStr">
        <is>
          <t>The all-in phased ladder with adoption and your team's time, timing, and the gates.</t>
        </is>
      </c>
      <c r="E26" s="18" t="n"/>
      <c r="F26" s="21" t="inlineStr">
        <is>
          <t>Q2</t>
        </is>
      </c>
    </row>
    <row r="27" ht="13.5" customHeight="1">
      <c r="B27" s="18" t="n"/>
      <c r="C27" s="19" t="inlineStr">
        <is>
          <t>3b Payback</t>
        </is>
      </c>
      <c r="D27" s="20" t="inlineStr">
        <is>
          <t>Spend, value and cumulative net by month; payback, scenarios and a 24-month NPV.</t>
        </is>
      </c>
      <c r="E27" s="18" t="n"/>
      <c r="F27" s="21" t="inlineStr">
        <is>
          <t>Q2</t>
        </is>
      </c>
    </row>
    <row r="28" ht="13.5" customHeight="1">
      <c r="B28" s="18" t="n"/>
      <c r="C28" s="19" t="inlineStr">
        <is>
          <t>4 Canvas</t>
        </is>
      </c>
      <c r="D28" s="20" t="inlineStr">
        <is>
          <t>The one-page business case. Prints on one landscape page.</t>
        </is>
      </c>
      <c r="E28" s="18" t="n"/>
      <c r="F28" s="21" t="inlineStr">
        <is>
          <t>Q1–Q4 on one page</t>
        </is>
      </c>
    </row>
    <row r="29" ht="13.5" customHeight="1">
      <c r="B29" s="18" t="n"/>
      <c r="C29" s="19" t="inlineStr">
        <is>
          <t>5 Stakeholders</t>
        </is>
      </c>
      <c r="D29" s="20" t="inlineStr">
        <is>
          <t>The five people to pre-wire, and the CFO objections answered with your numbers.</t>
        </is>
      </c>
      <c r="E29" s="18" t="n"/>
      <c r="F29" s="21" t="inlineStr">
        <is>
          <t>Q3</t>
        </is>
      </c>
    </row>
    <row r="30" ht="13.5" customHeight="1">
      <c r="B30" s="18" t="n"/>
      <c r="C30" s="19" t="inlineStr">
        <is>
          <t>6 KPI Tracker</t>
        </is>
      </c>
      <c r="D30" s="20" t="inlineStr">
        <is>
          <t>Six KPIs with baselines, targets in dollars and monthly actuals.</t>
        </is>
      </c>
      <c r="E30" s="18" t="n"/>
      <c r="F30" s="21" t="inlineStr">
        <is>
          <t>Q2</t>
        </is>
      </c>
    </row>
    <row r="31" ht="13.5" customHeight="1">
      <c r="B31" s="18" t="n"/>
      <c r="C31" s="19" t="inlineStr">
        <is>
          <t>7 Make It Stick</t>
        </is>
      </c>
      <c r="D31" s="20" t="inlineStr">
        <is>
          <t>Monday's six moves, the change-management checklist and the budget timeline.</t>
        </is>
      </c>
      <c r="E31" s="18" t="n"/>
      <c r="F31" s="21" t="inlineStr">
        <is>
          <t>Q3</t>
        </is>
      </c>
    </row>
    <row r="32" ht="13.5" customHeight="1">
      <c r="B32" s="18" t="n"/>
      <c r="C32" s="19" t="inlineStr">
        <is>
          <t>Self-Check</t>
        </is>
      </c>
      <c r="D32" s="20" t="inlineStr">
        <is>
          <t>Optional, two minutes: is it time, and which first step fits?</t>
        </is>
      </c>
      <c r="E32" s="18" t="n"/>
      <c r="F32" s="21" t="inlineStr">
        <is>
          <t>—</t>
        </is>
      </c>
    </row>
    <row r="33" ht="13.5" customHeight="1">
      <c r="B33" s="18" t="n"/>
      <c r="C33" s="19" t="inlineStr">
        <is>
          <t>Benchmarks</t>
        </is>
      </c>
      <c r="D33" s="20" t="inlineStr">
        <is>
          <t>What's normal for your size, the industry medians, and why initiatives stall.</t>
        </is>
      </c>
      <c r="E33" s="18" t="n"/>
      <c r="F33" s="21" t="inlineStr">
        <is>
          <t>—</t>
        </is>
      </c>
    </row>
    <row r="34" ht="13.5" customHeight="1">
      <c r="B34" s="18" t="n"/>
      <c r="C34" s="19" t="inlineStr">
        <is>
          <t>Sources</t>
        </is>
      </c>
      <c r="D34" s="20" t="inlineStr">
        <is>
          <t>The evidence behind the numbers, and who's behind the Playbook.</t>
        </is>
      </c>
      <c r="E34" s="18" t="n"/>
      <c r="F34" s="21" t="inlineStr">
        <is>
          <t>—</t>
        </is>
      </c>
    </row>
    <row r="35" ht="4" customHeight="1"/>
    <row r="36" ht="17" customHeight="1">
      <c r="B36" s="6" t="inlineStr">
        <is>
          <t>WORKED EXAMPLE FROM THE WEBINAR · static text, not live cells</t>
        </is>
      </c>
      <c r="C36" s="7" t="n"/>
      <c r="D36" s="7" t="n"/>
      <c r="E36" s="7" t="n"/>
      <c r="F36" s="7" t="n"/>
    </row>
    <row r="37" ht="42" customHeight="1">
      <c r="B37" s="22" t="inlineStr">
        <is>
          <t>The webinar's $420M industrial manufacturer at an 8% operating margin: planning prize $4.2M–$8.4M per year; ladder $35K diagnostic → $100K sprint → $200K build + $200K adoption and change management ($535K one-time, $6.5K/month after); value from month 4, run-rate by month 9; pays back in month 6 with ≈ $1.7M net in year one (4.1× year-one spend; 7.9× at run-rate) — and one full year of run-rate value forfeited for every budget cycle skipped.</t>
        </is>
      </c>
      <c r="C37" s="23" t="n"/>
      <c r="D37" s="23" t="n"/>
      <c r="E37" s="23" t="n"/>
      <c r="F37" s="23" t="n"/>
    </row>
    <row r="38" ht="4" customHeight="1"/>
    <row r="39" ht="17" customHeight="1">
      <c r="B39" s="6" t="inlineStr">
        <is>
          <t>MONDAY MORNING, IN SIX MOVES · the trackable version is on tab 7</t>
        </is>
      </c>
      <c r="C39" s="7" t="n"/>
      <c r="D39" s="7" t="n"/>
      <c r="E39" s="7" t="n"/>
      <c r="F39" s="7" t="n"/>
    </row>
    <row r="40" ht="16" customHeight="1">
      <c r="B40" s="20" t="inlineStr">
        <is>
          <t>1 · Name the executive sponsor — one name, not a committee</t>
        </is>
      </c>
      <c r="C40" s="18" t="n"/>
      <c r="D40" s="18" t="n"/>
      <c r="E40" s="20" t="inlineStr">
        <is>
          <t>4 · Book the finance conversation — pre-wire the CFO before any budget meeting</t>
        </is>
      </c>
      <c r="F40" s="18" t="n"/>
    </row>
    <row r="41" ht="16" customHeight="1">
      <c r="B41" s="20" t="inlineStr">
        <is>
          <t>2 · Estimate the prize — tab 1 does it from revenue and industry</t>
        </is>
      </c>
      <c r="C41" s="18" t="n"/>
      <c r="D41" s="18" t="n"/>
      <c r="E41" s="20" t="inlineStr">
        <is>
          <t>5 · Fill in the one-page Canvas (tab 4) — under an hour for most teams</t>
        </is>
      </c>
      <c r="F41" s="18" t="n"/>
    </row>
    <row r="42" ht="16" customHeight="1">
      <c r="B42" s="20" t="inlineStr">
        <is>
          <t>3 · Pull three years of transaction data — one extract is enough to start</t>
        </is>
      </c>
      <c r="C42" s="18" t="n"/>
      <c r="D42" s="18" t="n"/>
      <c r="E42" s="20" t="inlineStr">
        <is>
          <t>6 · Decide on the first step — the small first yes that de-risks the rest</t>
        </is>
      </c>
      <c r="F42" s="18" t="n"/>
    </row>
    <row r="43" ht="4" customHeight="1"/>
    <row r="44" ht="27" customHeight="1">
      <c r="B44" s="16" t="inlineStr">
        <is>
          <t>Questions or a second set of eyes on your Canvas: armin@revologyanalytics.com · enrico@myrevify.com. Benchmarks: Revology Analytics / Revify 2025–26 engagements, rounded. Research: Revology Analytics 2025 Global Price Impact Research (~2,000 public companies) and the 2025 RGA Maturity Report (n=52).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1">
    <mergeCell ref="B42:D42"/>
    <mergeCell ref="B7:F7"/>
    <mergeCell ref="B16:C16"/>
    <mergeCell ref="B1:D1"/>
    <mergeCell ref="D34:E34"/>
    <mergeCell ref="E42:F42"/>
    <mergeCell ref="D17:F17"/>
    <mergeCell ref="D22:E22"/>
    <mergeCell ref="B18:C18"/>
    <mergeCell ref="D31:E31"/>
    <mergeCell ref="D16:F16"/>
    <mergeCell ref="C13:F13"/>
    <mergeCell ref="B21:F21"/>
    <mergeCell ref="B39:F39"/>
    <mergeCell ref="D27:E27"/>
    <mergeCell ref="D18:F18"/>
    <mergeCell ref="B40:D40"/>
    <mergeCell ref="D32:E32"/>
    <mergeCell ref="B17:C17"/>
    <mergeCell ref="E40:F40"/>
    <mergeCell ref="B44:F44"/>
    <mergeCell ref="B41:D41"/>
    <mergeCell ref="B19:F19"/>
    <mergeCell ref="B37:F37"/>
    <mergeCell ref="D28:E28"/>
    <mergeCell ref="C10:F10"/>
    <mergeCell ref="B9:F9"/>
    <mergeCell ref="D25:E25"/>
    <mergeCell ref="B6:F6"/>
    <mergeCell ref="D24:E24"/>
    <mergeCell ref="D30:E30"/>
    <mergeCell ref="B15:F15"/>
    <mergeCell ref="D33:E33"/>
    <mergeCell ref="D29:E29"/>
    <mergeCell ref="C12:F12"/>
    <mergeCell ref="E41:F41"/>
    <mergeCell ref="D23:E23"/>
    <mergeCell ref="C11:F11"/>
    <mergeCell ref="B36:F36"/>
    <mergeCell ref="D26:E26"/>
    <mergeCell ref="B2:D2"/>
  </mergeCells>
  <hyperlinks>
    <hyperlink ref="C4" location="'1 Company &amp; Prize'!A1" display="Next →"/>
    <hyperlink ref="C23" location="'Start Here'!A1" display="Start Here"/>
    <hyperlink ref="C24" location="'1 Company &amp; Prize'!A1" display="1 Company &amp; Prize"/>
    <hyperlink ref="C25" location="'2 Pick Levers'!A1" display="2 Pick Levers"/>
    <hyperlink ref="C26" location="'3 Investment'!A1" display="3 Investment"/>
    <hyperlink ref="C27" location="'3b Payback'!A1" display="3b Payback"/>
    <hyperlink ref="C28" location="'4 Canvas'!A1" display="4 Canvas"/>
    <hyperlink ref="C29" location="'5 Stakeholders'!A1" display="5 Stakeholders"/>
    <hyperlink ref="C30" location="'6 KPI Tracker'!A1" display="6 KPI Tracker"/>
    <hyperlink ref="C31" location="'7 Make It Stick'!A1" display="7 Make It Stick"/>
    <hyperlink ref="C32" location="'Self-Check'!A1" display="Self-Check"/>
    <hyperlink ref="C33" location="'Benchmarks'!A1" display="Benchmarks"/>
    <hyperlink ref="C34" location="'Sources'!A1" display="Sources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7DB73E"/>
    <outlinePr summaryBelow="1" summaryRight="1"/>
    <pageSetUpPr fitToPage="1"/>
  </sheetPr>
  <dimension ref="A1:J37"/>
  <sheetViews>
    <sheetView showGridLines="0" zoomScale="10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4" customWidth="1" min="1" max="1"/>
    <col width="42" customWidth="1" min="2" max="2"/>
    <col width="21" customWidth="1" min="3" max="3"/>
    <col width="21" customWidth="1" min="4" max="4"/>
    <col width="21" customWidth="1" min="5" max="5"/>
    <col width="17" customWidth="1" min="6" max="6"/>
    <col width="33" customWidth="1" min="7" max="7"/>
    <col width="2.4" customWidth="1" min="8" max="8"/>
    <col width="3" customWidth="1" min="9" max="9"/>
    <col width="24" customWidth="1" min="10" max="10"/>
  </cols>
  <sheetData>
    <row r="1" ht="30" customHeight="1">
      <c r="A1" s="1" t="n"/>
      <c r="B1" s="2" t="inlineStr">
        <is>
          <t>Step 1 — Your Company and the Prize</t>
        </is>
      </c>
      <c r="C1" s="1" t="n"/>
      <c r="D1" s="1" t="n"/>
      <c r="E1" s="1" t="n"/>
      <c r="F1" s="1" t="n"/>
      <c r="G1" s="1" t="n"/>
      <c r="H1" s="1" t="n"/>
    </row>
    <row r="2" ht="20" customHeight="1">
      <c r="A2" s="1" t="n"/>
      <c r="B2" s="3" t="inlineStr">
        <is>
          <t>Answers “How much?” and “What if we do nothing?” Enter your numbers; everything downstream updates.</t>
        </is>
      </c>
      <c r="C2" s="1" t="n"/>
      <c r="D2" s="1" t="n"/>
      <c r="E2" s="1" t="n"/>
      <c r="F2" s="1" t="n"/>
      <c r="G2" s="1" t="n"/>
      <c r="H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16" customHeight="1">
      <c r="B4" s="5" t="inlineStr">
        <is>
          <t>← Start Here</t>
        </is>
      </c>
      <c r="C4" s="5" t="inlineStr">
        <is>
          <t>Next →</t>
        </is>
      </c>
    </row>
    <row r="5" ht="4" customHeight="1"/>
    <row r="6" ht="17" customHeight="1">
      <c r="B6" s="6" t="inlineStr">
        <is>
          <t>YOUR INPUTS</t>
        </is>
      </c>
      <c r="C6" s="7" t="n"/>
      <c r="D6" s="7" t="n"/>
      <c r="E6" s="7" t="n"/>
      <c r="F6" s="7" t="n"/>
      <c r="G6" s="7" t="n"/>
    </row>
    <row r="7" ht="16" customHeight="1">
      <c r="B7" s="18" t="n"/>
      <c r="C7" s="24" t="inlineStr">
        <is>
          <t>Yours</t>
        </is>
      </c>
      <c r="D7" s="24" t="inlineStr">
        <is>
          <t>Suggested</t>
        </is>
      </c>
      <c r="E7" s="24" t="inlineStr">
        <is>
          <t>Used</t>
        </is>
      </c>
      <c r="F7" s="25" t="inlineStr">
        <is>
          <t>Notes</t>
        </is>
      </c>
      <c r="G7" s="18" t="n"/>
    </row>
    <row r="8" ht="18" customHeight="1">
      <c r="B8" s="26" t="inlineStr">
        <is>
          <t>Company name</t>
        </is>
      </c>
      <c r="C8" s="11" t="n"/>
      <c r="D8" s="12" t="n"/>
      <c r="E8" s="12" t="n"/>
      <c r="F8" s="16" t="inlineStr">
        <is>
          <t>Shows in the Canvas header.</t>
        </is>
      </c>
    </row>
    <row r="9" ht="18" customHeight="1">
      <c r="B9" s="26" t="inlineStr">
        <is>
          <t>Annual revenue ($)</t>
        </is>
      </c>
      <c r="C9" s="27" t="n"/>
      <c r="F9" s="16" t="inlineStr">
        <is>
          <t>Net sales for the scope the initiative would cover.</t>
        </is>
      </c>
    </row>
    <row r="10" ht="18" customHeight="1">
      <c r="B10" s="26" t="inlineStr">
        <is>
          <t>Industry</t>
        </is>
      </c>
      <c r="C10" s="11" t="n"/>
      <c r="D10" s="12" t="n"/>
      <c r="F10" s="16" t="inlineStr">
        <is>
          <t>Sets the benchmark comparison below, not a multiplier.</t>
        </is>
      </c>
    </row>
    <row r="11" ht="18" customHeight="1">
      <c r="B11" s="26" t="inlineStr">
        <is>
          <t>Operating profit margin (%)</t>
        </is>
      </c>
      <c r="C11" s="28" t="n"/>
      <c r="F11" s="16" t="inlineStr">
        <is>
          <t>Approximate is fine.</t>
        </is>
      </c>
    </row>
    <row r="12" ht="26.5" customHeight="1">
      <c r="B12" s="26" t="inlineStr">
        <is>
          <t>Start month (1–12)</t>
        </is>
      </c>
      <c r="C12" s="29" t="n"/>
      <c r="D12" s="30">
        <f>IF(RouteUsed="Ourselves first",10,1)</f>
        <v>1</v>
      </c>
      <c r="E12" s="31">
        <f>IF(C12="",D12,C12)</f>
        <v>1</v>
      </c>
      <c r="F12" s="16" t="str">
        <f>"First phase starts "&amp;TEXT(DATE(StartYearUsed,StartMonthUsed,1),"mmmm yyyy")&amp;IF(RouteUsed="Ourselves first"," — before the December lock, so the ask is backed by your own numbers.",".")</f>
        <v>First phase starts January 2027.</v>
      </c>
    </row>
    <row r="13" ht="18" customHeight="1">
      <c r="B13" s="26" t="inlineStr">
        <is>
          <t>Start year</t>
        </is>
      </c>
      <c r="C13" s="29" t="n"/>
      <c r="D13" s="30">
        <f>IF(RouteUsed="Ourselves first",2026,2027)</f>
        <v>2027</v>
      </c>
      <c r="E13" s="31">
        <f>IF(C13="",D13,C13)</f>
        <v>2027</v>
      </c>
      <c r="F13" s="16" t="inlineStr">
        <is>
          <t>The budget year you're asking for.</t>
        </is>
      </c>
    </row>
    <row r="14" ht="26.5" customHeight="1">
      <c r="B14" s="26" t="inlineStr">
        <is>
          <t>Route</t>
        </is>
      </c>
      <c r="C14" s="32" t="n"/>
      <c r="D14" s="33" t="inlineStr">
        <is>
          <t>With a partner</t>
        </is>
      </c>
      <c r="E14" s="34" t="str">
        <f>IF(C14="",D14,C14)</f>
        <v>With a partner</v>
      </c>
      <c r="F14" s="16" t="inlineStr">
        <is>
          <t>Bring in a partner for the diagnostic, or do a first pass yourselves and decide.</t>
        </is>
      </c>
    </row>
    <row r="15" ht="26.5" customHeight="1">
      <c r="B15" s="26" t="inlineStr">
        <is>
          <t>Addressable share of revenue (optional)</t>
        </is>
      </c>
      <c r="C15" s="35" t="n"/>
      <c r="D15" s="36" t="n">
        <v>1</v>
      </c>
      <c r="E15" s="37">
        <f>IF(C15="",D15,C15)</f>
        <v>1</v>
      </c>
      <c r="F15" s="16" t="inlineStr">
        <is>
          <t>The share of revenue the initiative can reach. Leave blank for 100%.</t>
        </is>
      </c>
    </row>
    <row r="16" ht="4" customHeight="1"/>
    <row r="17" ht="17" customHeight="1">
      <c r="B17" s="6" t="inlineStr">
        <is>
          <t>YOUR PLANNING PRIZE · value at stake per year</t>
        </is>
      </c>
      <c r="C17" s="7" t="n"/>
      <c r="D17" s="7" t="n"/>
      <c r="E17" s="7" t="n"/>
      <c r="F17" s="7" t="n"/>
      <c r="G17" s="7" t="n"/>
    </row>
    <row r="18" ht="30" customHeight="1">
      <c r="B18" s="38" t="inlineStr">
        <is>
          <t>Your planning prize</t>
        </is>
      </c>
      <c r="C18" s="39" t="str">
        <f>PrizeUsed</f>
        <v/>
      </c>
      <c r="E18" s="40" t="str">
        <f>IF(Revenue="","← Enter your revenue in the green cell above.",IF(PrizeBasisUsed="My levers, bottom-up","Bottom-up from your levers on tab 2 ("&amp;LeverCount&amp;" picked, after overlap).","Conservative: 1% of "&amp;IF(AddressableShareUsed&lt;1,"addressable ","")&amp;"sales, the number we'd put in the business case. Tab 2 lets you build it bottom-up."))</f>
        <v>← Enter your revenue in the green cell above.</v>
      </c>
    </row>
    <row r="19" ht="15" customHeight="1">
      <c r="B19" s="41" t="inlineStr">
        <is>
          <t>The planning continuum</t>
        </is>
      </c>
      <c r="C19" s="42" t="inlineStr">
        <is>
          <t>1% · conservative (what we'd put in the case)</t>
        </is>
      </c>
      <c r="D19" s="42" t="inlineStr">
        <is>
          <t>2% · upper planning range</t>
        </is>
      </c>
      <c r="E19" s="42" t="inlineStr">
        <is>
          <t>5% · best-in-class programs (200–500 bps)</t>
        </is>
      </c>
      <c r="J19" s="43" t="inlineStr">
        <is>
          <t>Helpers (not printed)</t>
        </is>
      </c>
    </row>
    <row r="20" ht="30" customHeight="1">
      <c r="B20" s="26" t="inlineStr">
        <is>
          <t>Value at stake per year</t>
        </is>
      </c>
      <c r="C20" s="44" t="str">
        <f>IF(Revenue="","",Revenue*0.01*AddressableShareUsed)</f>
        <v/>
      </c>
      <c r="D20" s="44" t="str">
        <f>IF(Revenue="","",Revenue*0.02*AddressableShareUsed)</f>
        <v/>
      </c>
      <c r="E20" s="45" t="str">
        <f>IF(Revenue="","",IF(AND(ISNUMBER(OpProfit),PrizeBest&gt;OpProfit),"above today's operating profit",PrizeBest))</f>
        <v/>
      </c>
      <c r="F20" s="16" t="inlineStr">
        <is>
          <t>The case uses the planning prize above; 1–2% is the conservative range, best-in-class reaches 2–5%. Treat 2–5% as a ceiling, not a forecast.</t>
        </is>
      </c>
      <c r="J20" s="46" t="str">
        <f>IF(Revenue="","",Revenue*0.05*AddressableShareUsed)</f>
        <v/>
      </c>
    </row>
    <row r="21" ht="18" customHeight="1">
      <c r="B21" s="26" t="inlineStr">
        <is>
          <t>Your size band</t>
        </is>
      </c>
      <c r="C21" s="31" t="str">
        <f>IF(Revenue="","",IF(Revenue&lt;100000000,1,IF(Revenue&lt;1000000000,2,3)))</f>
        <v/>
      </c>
      <c r="D21" s="16" t="str">
        <f>IF(Revenue="","← Enter your revenue above to see your band.",CHOOSE(Band,"Under $100M","$100M–$1B","$1B+")&amp;" — this sets the suggested ladder on tab 3. Benchmarks by size are on the Benchmarks tab.")</f>
        <v>← Enter your revenue above to see your band.</v>
      </c>
      <c r="J21" s="46" t="str">
        <f>IF(OR(Revenue="",OpMargin=""),"",Revenue*OpMargin)</f>
        <v/>
      </c>
    </row>
    <row r="22" ht="4" customHeight="1">
      <c r="J22" s="47">
        <f>IF(StartMonthUsed&gt;=9,StartYearUsed+1,StartYearUsed)</f>
        <v>2027</v>
      </c>
    </row>
    <row r="23" ht="17" customHeight="1">
      <c r="B23" s="6" t="inlineStr">
        <is>
          <t>WHY PRICE IS THE SHARPEST LEVER, IN YOUR P&amp;L</t>
        </is>
      </c>
      <c r="C23" s="7" t="n"/>
      <c r="D23" s="7" t="n"/>
      <c r="E23" s="7" t="n"/>
      <c r="F23" s="7" t="n"/>
      <c r="G23" s="7" t="n"/>
    </row>
    <row r="24" ht="24" customHeight="1">
      <c r="B24" s="26" t="inlineStr">
        <is>
          <t>1% of price on your revenue</t>
        </is>
      </c>
      <c r="C24" s="48" t="str">
        <f>IF(Revenue="","",Revenue*0.01)</f>
        <v/>
      </c>
      <c r="D24" s="49" t="str">
        <f>IF(Industry="Distribution","On thin margins, nothing else comes close: a 1% price improvement raised EBITDA ~22% across 130 global distributors (and roughly +20% enterprise value). Best-in-class distributors gained 200–500 bps o"&amp;"f margin from pricing while the average lost ~100 bps. To match that profit the average distributor would need to grow volume +5.9%, cut fixed costs −7.5%, cut procurement −1.2%, or buy a competitor 2"&amp;"2% of its own size. Source: McKinsey, Distributors' Most Powerful Value-Creation Lever (2019); margins per NYU Stern / Damodaran (2026). McKinsey's +22% is EBITDA across 130 distributors, a different "&amp;"sample and measure from the 11.0% operating-profit median at left.","")</f>
        <v/>
      </c>
    </row>
    <row r="25" ht="24" customHeight="1">
      <c r="B25" s="26" t="inlineStr">
        <is>
          <t>…as a share of your operating profit</t>
        </is>
      </c>
      <c r="C25" s="50" t="str">
        <f>IF(OpMargin="","",IF(OpMargin&gt;0,0.01/OpMargin,""))</f>
        <v/>
      </c>
    </row>
    <row r="26" ht="24" customHeight="1">
      <c r="B26" s="51" t="str">
        <f>"Median gain per point of price — "&amp;IF(Industry="","all industries",IF(Industry="Other / not listed","all industries",Industry))</f>
        <v>Median gain per point of price — all industries</v>
      </c>
      <c r="C26" s="50">
        <f>IFERROR(INDEX(MedianValues,MATCH(Industry,MedianNames,0)),OverallMedian)</f>
        <v>0.064</v>
      </c>
    </row>
    <row r="27" ht="30" customHeight="1">
      <c r="B27" s="52" t="str">
        <f>IF(Revenue="","← Enter revenue, industry and margin above to see what 1% of price does to your operating profit.",IF(OR(Industry="",OpMargin="",NOT(ISNUMBER(OnePctPriceOPpct))),"1% of price on your revenue is "&amp;IF(ABS((OnePctPriceDollars))&gt;=1000000,TEXT((OnePctPriceDollars)/1000000,"$0.0")&amp;"M",TEXT((OnePctPriceDollars)/1000,"$#,##0")&amp;"K")&amp;". Add your industry and operating margin above to compare it with the median company in your industry.","1% of price on your revenue is "&amp;IF(ABS((OnePctPriceDollars))&gt;=1000000,TEXT((OnePctPriceDollars)/1000000,"$0.0")&amp;"M",TEXT((OnePctPriceDollars)/1000,"$#,##0")&amp;"K")&amp;" — about "&amp;TEXT(OnePctPriceOPpct,"0%")&amp;" of your operating profit. In our 2025 research the median "&amp;IF(Industry="Other / not listed","across all industries is "&amp;TEXT(OverallMedian,"0.0%")&amp;" per point of price realization","for "&amp;Industry&amp;" is "&amp;TEXT(IndustryMedian,"0.0%")&amp;" per point of price realization (all industries "&amp;TEXT(OverallMedian,"0.0%")&amp;")")&amp;IF(OnePctPriceOPpct&gt;IndustryMedian," — pricing moves your profit more than the median company in your industry.",".")))</f>
        <v>← Enter revenue, industry and margin above to see what 1% of price does to your operating profit.</v>
      </c>
    </row>
    <row r="28" ht="14" customHeight="1">
      <c r="B28" s="16" t="inlineStr">
        <is>
          <t>Source: Revology Analytics, 2025 Global Price Impact Research — ~2,000 public companies.</t>
        </is>
      </c>
    </row>
    <row r="29" ht="4" customHeight="1"/>
    <row r="30" ht="17" customHeight="1">
      <c r="B30" s="6" t="inlineStr">
        <is>
          <t>WHAT IF WE DO NOTHING? · cumulative value captured</t>
        </is>
      </c>
      <c r="C30" s="7" t="n"/>
      <c r="D30" s="7" t="n"/>
      <c r="E30" s="7" t="n"/>
      <c r="F30" s="7" t="n"/>
      <c r="G30" s="7" t="n"/>
      <c r="J30" s="43" t="inlineStr">
        <is>
          <t>Cost of each month of delay (helper)</t>
        </is>
      </c>
    </row>
    <row r="31" ht="20" customHeight="1">
      <c r="B31" s="26" t="inlineStr">
        <is>
          <t>Planning prize at full run-rate</t>
        </is>
      </c>
      <c r="C31" s="53" t="str">
        <f>PrizeUsed</f>
        <v/>
      </c>
      <c r="D31" s="54" t="str">
        <f>IF(Revenue="","← Enter your revenue on tab 1","Every month of delay costs ≈ "&amp;IF(ABS((MonthlyDelayCost))&gt;=1000000,TEXT((MonthlyDelayCost)/1000000,"$0.0")&amp;"M",TEXT((MonthlyDelayCost)/1000,"$#,##0")&amp;"K")&amp;" of run-rate value.")</f>
        <v>← Enter your revenue on tab 1</v>
      </c>
      <c r="J31" s="55" t="str">
        <f>IF(Revenue="","",PrizeUsed*(1-VolumeHaircutUsed)/12)</f>
        <v/>
      </c>
    </row>
    <row r="32" ht="18" customHeight="1">
      <c r="B32" s="56" t="inlineStr">
        <is>
          <t>Scenario</t>
        </is>
      </c>
      <c r="C32" s="57" t="str">
        <f>"Year 1 · "&amp;TEXT(DATE(StartYearUsed,StartMonthUsed,1),"mmm yy")&amp;"–"&amp;TEXT(EDATE(DATE(StartYearUsed,StartMonthUsed,1),11),"mmm yy")</f>
        <v>Year 1 · Jan 27–Dec 27</v>
      </c>
      <c r="D32" s="57" t="str">
        <f>"Year 2 · "&amp;TEXT(EDATE(DATE(StartYearUsed,StartMonthUsed,1),12),"mmm yy")&amp;"–"&amp;TEXT(EDATE(DATE(StartYearUsed,StartMonthUsed,1),23),"mmm yy")</f>
        <v>Year 2 · Jan 28–Dec 28</v>
      </c>
      <c r="E32" s="57" t="str">
        <f>"Year 3 · "&amp;TEXT(EDATE(DATE(StartYearUsed,StartMonthUsed,1),24),"mmm yy")&amp;"–"&amp;TEXT(EDATE(DATE(StartYearUsed,StartMonthUsed,1),35),"mmm yy")</f>
        <v>Year 3 · Jan 29–Dec 29</v>
      </c>
      <c r="F32" s="56" t="inlineStr">
        <is>
          <t>What it means</t>
        </is>
      </c>
      <c r="G32" s="7" t="n"/>
    </row>
    <row r="33" ht="22" customHeight="1">
      <c r="B33" s="58" t="inlineStr">
        <is>
          <t>Fund it now</t>
        </is>
      </c>
      <c r="C33" s="59" t="str">
        <f>IF(Revenue="","",Y1Value)</f>
        <v/>
      </c>
      <c r="D33" s="59" t="str">
        <f>IF(Revenue="","",Y1Value+Y2Value)</f>
        <v/>
      </c>
      <c r="E33" s="59" t="str">
        <f>IF(Revenue="","",Y1Value+2*Y2Value)</f>
        <v/>
      </c>
      <c r="F33" s="20" t="inlineStr">
        <is>
          <t>Value ramps up in year one, then runs at the full rate.</t>
        </is>
      </c>
      <c r="G33" s="18" t="n"/>
    </row>
    <row r="34" ht="22" customHeight="1">
      <c r="B34" s="58" t="inlineStr">
        <is>
          <t>Slip a year</t>
        </is>
      </c>
      <c r="C34" s="60" t="str">
        <f>IF(Revenue="","",0)</f>
        <v/>
      </c>
      <c r="D34" s="60" t="str">
        <f>IF(Revenue="","",Y1Value)</f>
        <v/>
      </c>
      <c r="E34" s="60" t="str">
        <f>IF(Revenue="","",Y1Value+Y2Value)</f>
        <v/>
      </c>
      <c r="F34" s="20" t="inlineStr">
        <is>
          <t>The first year is gone for good — it doesn't defer.</t>
        </is>
      </c>
      <c r="G34" s="18" t="n"/>
    </row>
    <row r="35" ht="22" customHeight="1">
      <c r="B35" s="61" t="inlineStr">
        <is>
          <t>The gap a one-year slip creates</t>
        </is>
      </c>
      <c r="C35" s="62" t="str">
        <f>IF(Revenue="","",C33-C34)</f>
        <v/>
      </c>
      <c r="D35" s="62" t="str">
        <f>IF(Revenue="","",D33-D34)</f>
        <v/>
      </c>
      <c r="E35" s="62" t="str">
        <f>IF(Revenue="","",E33-E34)</f>
        <v/>
      </c>
      <c r="F35" s="20" t="inlineStr">
        <is>
          <t>…while competitors who moved add 200–500 bps of margin.</t>
        </is>
      </c>
      <c r="G35" s="18" t="n"/>
    </row>
    <row r="36" ht="28" customHeight="1">
      <c r="B36" s="63" t="inlineStr">
        <is>
          <t>A one-year slip forfeits one full year of run-rate value. It is not recovered later — the program just starts a year late while peers who moved add 200–500 bps of margin.</t>
        </is>
      </c>
    </row>
    <row r="37" ht="26" customHeight="1">
      <c r="B37" s="16" t="inlineStr">
        <is>
          <t>Basis: your planning prize with the ramp from tab 3b. 200–500 bps competitor gain per Revology Analytics / Revify engagement benchmarks. Miss the December budget lock and the next window is a year away.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1">
    <mergeCell ref="B2:G2"/>
    <mergeCell ref="F11:G11"/>
    <mergeCell ref="F10:G10"/>
    <mergeCell ref="B17:G17"/>
    <mergeCell ref="B23:G23"/>
    <mergeCell ref="B1:G1"/>
    <mergeCell ref="F34:G34"/>
    <mergeCell ref="D24:G26"/>
    <mergeCell ref="F7:G7"/>
    <mergeCell ref="F12:G12"/>
    <mergeCell ref="B28:G28"/>
    <mergeCell ref="C10:D10"/>
    <mergeCell ref="F15:G15"/>
    <mergeCell ref="B37:G37"/>
    <mergeCell ref="F20:G20"/>
    <mergeCell ref="C8:E8"/>
    <mergeCell ref="F33:G33"/>
    <mergeCell ref="F32:G32"/>
    <mergeCell ref="B30:G30"/>
    <mergeCell ref="F35:G35"/>
    <mergeCell ref="F8:G8"/>
    <mergeCell ref="B6:G6"/>
    <mergeCell ref="D31:G31"/>
    <mergeCell ref="B36:G36"/>
    <mergeCell ref="D21:G21"/>
    <mergeCell ref="E18:G18"/>
    <mergeCell ref="F13:G13"/>
    <mergeCell ref="F9:G9"/>
    <mergeCell ref="B27:G27"/>
    <mergeCell ref="F14:G14"/>
    <mergeCell ref="C18:D18"/>
  </mergeCells>
  <conditionalFormatting sqref="D24:G26">
    <cfRule type="expression" priority="1" dxfId="0" stopIfTrue="0">
      <formula>$C$10="Distribution"</formula>
    </cfRule>
  </conditionalFormatting>
  <dataValidations count="7">
    <dataValidation sqref="C9" showDropDown="0" showInputMessage="0" showErrorMessage="1" allowBlank="1" errorTitle="RGM Initiative Playbook" error="Enter annual revenue in dollars, e.g. 420000000." type="decimal" errorStyle="stop" operator="greaterThanOrEqual">
      <formula1>0</formula1>
    </dataValidation>
    <dataValidation sqref="C10" showDropDown="0" showInputMessage="1" showErrorMessage="1" allowBlank="1" errorTitle="RGM Initiative Playbook" error="Pick from the list" prompt="Pick from the list." type="list" errorStyle="stop">
      <formula1>MedianNames</formula1>
    </dataValidation>
    <dataValidation sqref="C11" showDropDown="0" showInputMessage="0" showErrorMessage="1" allowBlank="1" errorTitle="RGM Initiative Playbook" error="Enter a margin between 0% and 100%, e.g. 8%." type="decimal" errorStyle="stop" operator="between">
      <formula1>0</formula1>
      <formula2>1</formula2>
    </dataValidation>
    <dataValidation sqref="C12" showDropDown="0" showInputMessage="0" showErrorMessage="1" allowBlank="1" errorTitle="RGM Initiative Playbook" error="Enter a whole number from 1 to 12." type="whole" errorStyle="stop" operator="between">
      <formula1>1</formula1>
      <formula2>12</formula2>
    </dataValidation>
    <dataValidation sqref="C13" showDropDown="0" showInputMessage="0" showErrorMessage="1" allowBlank="1" errorTitle="RGM Initiative Playbook" error="Enter a whole number from 2026 to 2030." type="whole" errorStyle="stop" operator="between">
      <formula1>2026</formula1>
      <formula2>2030</formula2>
    </dataValidation>
    <dataValidation sqref="C14" showDropDown="0" showInputMessage="0" showErrorMessage="1" allowBlank="1" errorTitle="RGM Initiative Playbook" error="Pick from the list" type="list" errorStyle="stop">
      <formula1>"With a partner,Ourselves first"</formula1>
    </dataValidation>
    <dataValidation sqref="C15" showDropDown="0" showInputMessage="0" showErrorMessage="1" allowBlank="1" errorTitle="RGM Initiative Playbook" error="Enter a percentage between 0% and 100%." type="decimal" errorStyle="stop" operator="between">
      <formula1>0</formula1>
      <formula2>1</formula2>
    </dataValidation>
  </dataValidations>
  <hyperlinks>
    <hyperlink ref="B4" location="'Start Here'!A1" display="← Start Here"/>
    <hyperlink ref="C4" location="'2 Pick Levers'!A1" display="Next →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7DB73E"/>
    <outlinePr summaryBelow="1" summaryRight="1"/>
    <pageSetUpPr fitToPage="1"/>
  </sheetPr>
  <dimension ref="A1:L45"/>
  <sheetViews>
    <sheetView showGridLines="0" zoomScale="10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4" customWidth="1" min="1" max="1"/>
    <col width="4" customWidth="1" min="2" max="2"/>
    <col width="30" customWidth="1" min="3" max="3"/>
    <col width="9" customWidth="1" min="4" max="4"/>
    <col width="9" customWidth="1" min="5" max="5"/>
    <col width="9" customWidth="1" min="6" max="6"/>
    <col width="12" customWidth="1" min="7" max="7"/>
    <col width="13" customWidth="1" min="8" max="8"/>
    <col width="12" customWidth="1" min="9" max="9"/>
    <col width="13" customWidth="1" min="10" max="10"/>
    <col width="48" customWidth="1" min="11" max="11"/>
    <col width="2.4" customWidth="1" min="12" max="12"/>
  </cols>
  <sheetData>
    <row r="1" ht="30" customHeight="1">
      <c r="A1" s="1" t="n"/>
      <c r="B1" s="2" t="inlineStr">
        <is>
          <t>Step 2 — Pick Your Levers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20" customHeight="1">
      <c r="A2" s="1" t="n"/>
      <c r="B2" s="3" t="inlineStr">
        <is>
          <t>Answers “How much?” bottom-up — where the 1–2% would actually come from. Pick up to three; the ranges are placeholders, edit them.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16" customHeight="1">
      <c r="B4" s="5" t="inlineStr">
        <is>
          <t>← Start Here</t>
        </is>
      </c>
      <c r="E4" s="5" t="inlineStr">
        <is>
          <t>← Previous</t>
        </is>
      </c>
      <c r="H4" s="5" t="inlineStr">
        <is>
          <t>Next →</t>
        </is>
      </c>
    </row>
    <row r="5" ht="4" customHeight="1"/>
    <row r="6" ht="20" customHeight="1">
      <c r="B6" s="64" t="inlineStr">
        <is>
          <t>Initiative name</t>
        </is>
      </c>
      <c r="D6" s="11" t="n"/>
      <c r="E6" s="12" t="n"/>
      <c r="F6" s="12" t="n"/>
      <c r="G6" s="12" t="n"/>
      <c r="H6" s="16" t="inlineStr">
        <is>
          <t>e.g. “Discount governance &amp; price realization program”. Prints in the Canvas header and The Ask.</t>
        </is>
      </c>
    </row>
    <row r="7" ht="17" customHeight="1">
      <c r="B7" s="6" t="inlineStr">
        <is>
          <t>THE LEVERS · pick up to three for the Canvas · typical ranges are placeholders (UNCONFIRMED) — edit them</t>
        </is>
      </c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 ht="24" customHeight="1">
      <c r="B8" s="65" t="inlineStr">
        <is>
          <t>#</t>
        </is>
      </c>
      <c r="C8" s="65" t="inlineStr">
        <is>
          <t>Lever</t>
        </is>
      </c>
      <c r="D8" s="65" t="inlineStr">
        <is>
          <t>Pick</t>
        </is>
      </c>
      <c r="E8" s="65" t="inlineStr">
        <is>
          <t>Typical low</t>
        </is>
      </c>
      <c r="F8" s="65" t="inlineStr">
        <is>
          <t>Typical high</t>
        </is>
      </c>
      <c r="G8" s="65" t="inlineStr">
        <is>
          <t>Typical $ / yr</t>
        </is>
      </c>
      <c r="H8" s="65" t="inlineStr">
        <is>
          <t>Your estimate $ / yr</t>
        </is>
      </c>
      <c r="I8" s="65" t="inlineStr">
        <is>
          <t>Used $ / yr</t>
        </is>
      </c>
      <c r="J8" s="65" t="inlineStr">
        <is>
          <t>Evidence</t>
        </is>
      </c>
      <c r="K8" s="65" t="inlineStr">
        <is>
          <t>What the Canvas will say</t>
        </is>
      </c>
    </row>
    <row r="9" ht="26" customHeight="1">
      <c r="B9" s="66" t="n">
        <v>1</v>
      </c>
      <c r="C9" s="67" t="inlineStr">
        <is>
          <t>Discount governance</t>
        </is>
      </c>
      <c r="D9" s="68" t="n"/>
      <c r="E9" s="69" t="n">
        <v>0.003</v>
      </c>
      <c r="F9" s="69" t="n">
        <v>0.01</v>
      </c>
      <c r="G9" s="70" t="str">
        <f>IF(Revenue="","",Revenue*AddressableShareUsed*(E9+F9)/2)</f>
        <v/>
      </c>
      <c r="H9" s="71" t="n"/>
      <c r="I9" s="70" t="str">
        <f>IF(OR(Revenue="",D9&lt;&gt;"Yes"),"",IF(H9="",N(G9),H9))</f>
        <v/>
      </c>
      <c r="J9" s="72" t="n"/>
      <c r="K9" s="73" t="str">
        <f>IF(D9&lt;&gt;"Yes","Price bands, approval workflow, rep-level dispersion. Webinar: discounts cluster at approval limits; $5M on a $300M distributor.",IF(Revenue="","← Enter your revenue on tab 1","Discount governance"&amp;": ≈ "&amp;IF(ABS((I9))&gt;=1000000,TEXT((I9)/1000000,"$0.0")&amp;"M",TEXT((I9)/1000,"$#,##0")&amp;"K")&amp;"/yr ("&amp;TEXT(I9/Revenue,"0.0%")&amp;" of sales"&amp;IF(J9="in our data","; seen in our data",IF(J9="anecdotal","; anecdotal so far",IF(J9="none","; not yet evidenced","")))&amp;")"))</f>
        <v>Price bands, approval workflow, rep-level dispersion. Webinar: discounts cluster at approval limits; $5M on a $300M distributor.</v>
      </c>
    </row>
    <row r="10" ht="26" customHeight="1">
      <c r="B10" s="66" t="n">
        <v>2</v>
      </c>
      <c r="C10" s="67" t="inlineStr">
        <is>
          <t>Price-increase realization / cost pass-through</t>
        </is>
      </c>
      <c r="D10" s="68" t="n"/>
      <c r="E10" s="69" t="n">
        <v>0.003</v>
      </c>
      <c r="F10" s="69" t="n">
        <v>0.01</v>
      </c>
      <c r="G10" s="70" t="str">
        <f>IF(Revenue="","",Revenue*AddressableShareUsed*(E10+F10)/2)</f>
        <v/>
      </c>
      <c r="H10" s="71" t="n"/>
      <c r="I10" s="70" t="str">
        <f>IF(OR(Revenue="",D10&lt;&gt;"Yes"),"",IF(H10="",N(G10),H10))</f>
        <v/>
      </c>
      <c r="J10" s="72" t="n"/>
      <c r="K10" s="73" t="str">
        <f>IF(D10&lt;&gt;"Yes","List increases that reach the invoice; cost changes passed through on time, not months later.",IF(Revenue="","← Enter your revenue on tab 1","Price-increase realization / cost pass-through"&amp;": ≈ "&amp;IF(ABS((I10))&gt;=1000000,TEXT((I10)/1000000,"$0.0")&amp;"M",TEXT((I10)/1000,"$#,##0")&amp;"K")&amp;"/yr ("&amp;TEXT(I10/Revenue,"0.0%")&amp;" of sales"&amp;IF(J10="in our data","; seen in our data",IF(J10="anecdotal","; anecdotal so far",IF(J10="none","; not yet evidenced","")))&amp;")"))</f>
        <v>List increases that reach the invoice; cost changes passed through on time, not months later.</v>
      </c>
    </row>
    <row r="11" ht="26" customHeight="1">
      <c r="B11" s="66" t="n">
        <v>3</v>
      </c>
      <c r="C11" s="67" t="inlineStr">
        <is>
          <t>List-price architecture by segment</t>
        </is>
      </c>
      <c r="D11" s="68" t="n"/>
      <c r="E11" s="69" t="n">
        <v>0.002</v>
      </c>
      <c r="F11" s="69" t="n">
        <v>0.008</v>
      </c>
      <c r="G11" s="70" t="str">
        <f>IF(Revenue="","",Revenue*AddressableShareUsed*(E11+F11)/2)</f>
        <v/>
      </c>
      <c r="H11" s="71" t="n"/>
      <c r="I11" s="70" t="str">
        <f>IF(OR(Revenue="",D11&lt;&gt;"Yes"),"",IF(H11="",N(G11),H11))</f>
        <v/>
      </c>
      <c r="J11" s="72" t="n"/>
      <c r="K11" s="73" t="str">
        <f>IF(D11&lt;&gt;"Yes","Prices by segment and willingness to pay instead of cost-plus; surgical, not across-the-board.",IF(Revenue="","← Enter your revenue on tab 1","List-price architecture by segment"&amp;": ≈ "&amp;IF(ABS((I11))&gt;=1000000,TEXT((I11)/1000000,"$0.0")&amp;"M",TEXT((I11)/1000,"$#,##0")&amp;"K")&amp;"/yr ("&amp;TEXT(I11/Revenue,"0.0%")&amp;" of sales"&amp;IF(J11="in our data","; seen in our data",IF(J11="anecdotal","; anecdotal so far",IF(J11="none","; not yet evidenced","")))&amp;")"))</f>
        <v>Prices by segment and willingness to pay instead of cost-plus; surgical, not across-the-board.</v>
      </c>
    </row>
    <row r="12" ht="26" customHeight="1">
      <c r="B12" s="66" t="n">
        <v>4</v>
      </c>
      <c r="C12" s="67" t="inlineStr">
        <is>
          <t>Churn prevention</t>
        </is>
      </c>
      <c r="D12" s="68" t="n"/>
      <c r="E12" s="69" t="n">
        <v>0.002</v>
      </c>
      <c r="F12" s="69" t="n">
        <v>0.006</v>
      </c>
      <c r="G12" s="70" t="str">
        <f>IF(Revenue="","",Revenue*AddressableShareUsed*(E12+F12)/2)</f>
        <v/>
      </c>
      <c r="H12" s="71" t="n"/>
      <c r="I12" s="70" t="str">
        <f>IF(OR(Revenue="",D12&lt;&gt;"Yes"),"",IF(H12="",N(G12),H12))</f>
        <v/>
      </c>
      <c r="J12" s="72" t="n"/>
      <c r="K12" s="73" t="str">
        <f>IF(D12&lt;&gt;"Yes","Defend at-risk accounts with retention pricing by value. Webinar: $2–3M of preventable churn on $300M.",IF(Revenue="","← Enter your revenue on tab 1","Churn prevention"&amp;": ≈ "&amp;IF(ABS((I12))&gt;=1000000,TEXT((I12)/1000000,"$0.0")&amp;"M",TEXT((I12)/1000,"$#,##0")&amp;"K")&amp;"/yr ("&amp;TEXT(I12/Revenue,"0.0%")&amp;" of sales"&amp;IF(J12="in our data","; seen in our data",IF(J12="anecdotal","; anecdotal so far",IF(J12="none","; not yet evidenced","")))&amp;")"))</f>
        <v>Defend at-risk accounts with retention pricing by value. Webinar: $2–3M of preventable churn on $300M.</v>
      </c>
    </row>
    <row r="13" ht="26" customHeight="1">
      <c r="B13" s="66" t="n">
        <v>5</v>
      </c>
      <c r="C13" s="67" t="inlineStr">
        <is>
          <t>Promotion / trade ROI</t>
        </is>
      </c>
      <c r="D13" s="68" t="n"/>
      <c r="E13" s="69" t="n">
        <v>0.002</v>
      </c>
      <c r="F13" s="69" t="n">
        <v>0.008</v>
      </c>
      <c r="G13" s="70" t="str">
        <f>IF(Revenue="","",Revenue*AddressableShareUsed*(E13+F13)/2)</f>
        <v/>
      </c>
      <c r="H13" s="71" t="n"/>
      <c r="I13" s="70" t="str">
        <f>IF(OR(Revenue="",D13&lt;&gt;"Yes"),"",IF(H13="",N(G13),H13))</f>
        <v/>
      </c>
      <c r="J13" s="72" t="n"/>
      <c r="K13" s="73" t="str">
        <f>IF(D13&lt;&gt;"Yes","Cut promotions that don't pay back and redeploy the spend. Webinar: 20–30¢ lost per promo dollar.",IF(Revenue="","← Enter your revenue on tab 1","Promotion / trade ROI"&amp;": ≈ "&amp;IF(ABS((I13))&gt;=1000000,TEXT((I13)/1000000,"$0.0")&amp;"M",TEXT((I13)/1000,"$#,##0")&amp;"K")&amp;"/yr ("&amp;TEXT(I13/Revenue,"0.0%")&amp;" of sales"&amp;IF(J13="in our data","; seen in our data",IF(J13="anecdotal","; anecdotal so far",IF(J13="none","; not yet evidenced","")))&amp;")"))</f>
        <v>Cut promotions that don't pay back and redeploy the spend. Webinar: 20–30¢ lost per promo dollar.</v>
      </c>
    </row>
    <row r="14" ht="26" customHeight="1">
      <c r="B14" s="66" t="n">
        <v>6</v>
      </c>
      <c r="C14" s="67" t="inlineStr">
        <is>
          <t>Cross-sell &amp; whitespace</t>
        </is>
      </c>
      <c r="D14" s="68" t="n"/>
      <c r="E14" s="69" t="n">
        <v>0.002</v>
      </c>
      <c r="F14" s="69" t="n">
        <v>0.006</v>
      </c>
      <c r="G14" s="70" t="str">
        <f>IF(Revenue="","",Revenue*AddressableShareUsed*(E14+F14)/2)</f>
        <v/>
      </c>
      <c r="H14" s="71" t="n"/>
      <c r="I14" s="70" t="str">
        <f>IF(OR(Revenue="",D14&lt;&gt;"Yes"),"",IF(H14="",N(G14),H14))</f>
        <v/>
      </c>
      <c r="J14" s="72" t="n"/>
      <c r="K14" s="73" t="str">
        <f>IF(D14&lt;&gt;"Yes","Attach and share-of-wallet gaps in existing accounts, counted as incremental gross profit. Webinar: half of $12M identified.",IF(Revenue="","← Enter your revenue on tab 1","Cross-sell &amp; whitespace"&amp;": ≈ "&amp;IF(ABS((I14))&gt;=1000000,TEXT((I14)/1000000,"$0.0")&amp;"M",TEXT((I14)/1000,"$#,##0")&amp;"K")&amp;"/yr ("&amp;TEXT(I14/Revenue,"0.0%")&amp;" of sales"&amp;IF(J14="in our data","; seen in our data",IF(J14="anecdotal","; anecdotal so far",IF(J14="none","; not yet evidenced","")))&amp;")"))</f>
        <v>Attach and share-of-wallet gaps in existing accounts, counted as incremental gross profit. Webinar: half of $12M identified.</v>
      </c>
    </row>
    <row r="15" ht="26" customHeight="1">
      <c r="B15" s="66" t="n">
        <v>7</v>
      </c>
      <c r="C15" s="67" t="inlineStr">
        <is>
          <t>Terms, freight &amp; rebate leakage</t>
        </is>
      </c>
      <c r="D15" s="68" t="n"/>
      <c r="E15" s="69" t="n">
        <v>0.001</v>
      </c>
      <c r="F15" s="69" t="n">
        <v>0.005</v>
      </c>
      <c r="G15" s="70" t="str">
        <f>IF(Revenue="","",Revenue*AddressableShareUsed*(E15+F15)/2)</f>
        <v/>
      </c>
      <c r="H15" s="71" t="n"/>
      <c r="I15" s="70" t="str">
        <f>IF(OR(Revenue="",D15&lt;&gt;"Yes"),"",IF(H15="",N(G15),H15))</f>
        <v/>
      </c>
      <c r="J15" s="72" t="n"/>
      <c r="K15" s="73" t="str">
        <f>IF(D15&lt;&gt;"Yes","Payment terms, freight recovery, early-pay discounts and rebates that outgrew their purpose.",IF(Revenue="","← Enter your revenue on tab 1","Terms, freight &amp; rebate leakage"&amp;": ≈ "&amp;IF(ABS((I15))&gt;=1000000,TEXT((I15)/1000000,"$0.0")&amp;"M",TEXT((I15)/1000,"$#,##0")&amp;"K")&amp;"/yr ("&amp;TEXT(I15/Revenue,"0.0%")&amp;" of sales"&amp;IF(J15="in our data","; seen in our data",IF(J15="anecdotal","; anecdotal so far",IF(J15="none","; not yet evidenced","")))&amp;")"))</f>
        <v>Payment terms, freight recovery, early-pay discounts and rebates that outgrew their purpose.</v>
      </c>
    </row>
    <row r="16" ht="26" customHeight="1">
      <c r="B16" s="66" t="n">
        <v>8</v>
      </c>
      <c r="C16" s="67" t="inlineStr">
        <is>
          <t>Mix</t>
        </is>
      </c>
      <c r="D16" s="68" t="n"/>
      <c r="E16" s="69" t="n">
        <v>0.001</v>
      </c>
      <c r="F16" s="69" t="n">
        <v>0.005</v>
      </c>
      <c r="G16" s="70" t="str">
        <f>IF(Revenue="","",Revenue*AddressableShareUsed*(E16+F16)/2)</f>
        <v/>
      </c>
      <c r="H16" s="71" t="n"/>
      <c r="I16" s="70" t="str">
        <f>IF(OR(Revenue="",D16&lt;&gt;"Yes"),"",IF(H16="",N(G16),H16))</f>
        <v/>
      </c>
      <c r="J16" s="72" t="n"/>
      <c r="K16" s="73" t="str">
        <f>IF(D16&lt;&gt;"Yes","Steer volume to higher-margin products, customers and channels.",IF(Revenue="","← Enter your revenue on tab 1","Mix"&amp;": ≈ "&amp;IF(ABS((I16))&gt;=1000000,TEXT((I16)/1000000,"$0.0")&amp;"M",TEXT((I16)/1000,"$#,##0")&amp;"K")&amp;"/yr ("&amp;TEXT(I16/Revenue,"0.0%")&amp;" of sales"&amp;IF(J16="in our data","; seen in our data",IF(J16="anecdotal","; anecdotal so far",IF(J16="none","; not yet evidenced","")))&amp;")"))</f>
        <v>Steer volume to higher-margin products, customers and channels.</v>
      </c>
    </row>
    <row r="17" ht="4" customHeight="1"/>
    <row r="18" ht="17" customHeight="1">
      <c r="B18" s="6" t="inlineStr">
        <is>
          <t>WHAT YOUR LEVERS ADD UP TO</t>
        </is>
      </c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 ht="18" customHeight="1">
      <c r="B19" s="64" t="inlineStr">
        <is>
          <t>Levers picked</t>
        </is>
      </c>
      <c r="G19" s="31">
        <f>COUNTIF(LeverPicks,"Yes")</f>
        <v>0</v>
      </c>
      <c r="H19" s="16" t="str">
        <f>IF(LeverCount&gt;3,"Pick your top three; the rest go in the roadmap.",IF(LeverCount=0,"Pick at least one lever — it writes Canvas block 1 for you.",""))</f>
        <v>Pick at least one lever — it writes Canvas block 1 for you.</v>
      </c>
    </row>
    <row r="20" ht="18" customHeight="1">
      <c r="B20" s="64" t="inlineStr">
        <is>
          <t>Gross, before overlap</t>
        </is>
      </c>
      <c r="G20" s="44" t="str">
        <f>IF(Revenue="","",SUM(I9:I16))</f>
        <v/>
      </c>
    </row>
    <row r="21" ht="18" customHeight="1">
      <c r="B21" s="64" t="inlineStr">
        <is>
          <t>Overlap haircut</t>
        </is>
      </c>
      <c r="D21" s="36" t="n">
        <v>0.2</v>
      </c>
      <c r="E21" s="74" t="n"/>
      <c r="F21" s="75">
        <f>IF(LeverHaircut="",0.2,LeverHaircut)</f>
        <v>0.2</v>
      </c>
      <c r="H21" s="16" t="inlineStr">
        <is>
          <t>Levers overlap — the same dollar of leakage can show up in two of them. 20% is a planning haircut.</t>
        </is>
      </c>
    </row>
    <row r="22" ht="22" customHeight="1">
      <c r="B22" s="64" t="inlineStr">
        <is>
          <t>Bottom-up prize, after overlap</t>
        </is>
      </c>
      <c r="G22" s="76" t="str">
        <f>IF(OR(Revenue="",LeverCount=0),"",LeverGross*(1-LeverHaircutUsed))</f>
        <v/>
      </c>
    </row>
    <row r="23" ht="34" customHeight="1">
      <c r="B23" s="77" t="str">
        <f>IF(Revenue="","← Enter your revenue on tab 1",IF(LeverCount=0,"Pick at least one lever above to build the bottom-up view.","Bottom-up: "&amp;LeverCount&amp;" levers ≈ "&amp;IF(ABS((LeverPrize))&gt;=1000000,TEXT((LeverPrize)/1000000,"$0.0")&amp;"M",TEXT((LeverPrize)/1000,"$#,##0")&amp;"K")&amp;"/yr after a "&amp;TEXT(LeverHaircutUsed,"0%")&amp;" overlap haircut — "&amp;TEXT(LeverPrize/Revenue,"0.0%")&amp;" of sales, vs. the 1–2% rule ("&amp;IF(ABS((PrizeLow))&gt;=1000000,TEXT((PrizeLow)/1000000,"$0.0")&amp;"M",TEXT((PrizeLow)/1000,"$#,##0")&amp;"K")&amp;"–"&amp;IF(ABS((PrizeMid))&gt;=1000000,TEXT((PrizeMid)/1000000,"$0.0")&amp;"M",TEXT((PrizeMid)/1000,"$#,##0")&amp;"K")&amp;"). "&amp;IF(LeverPrize&lt;PrizeLow,"Below the conservative case — keep the 1% rule as the basis, or raise your estimates if the data supports it.",IF(LeverPrize&gt;PrizeMid,"Above the planning range — consider keeping the case at 1–2% and treating the rest as upside.","Inside the planning range — the 1% case is well supported."))))</f>
        <v>← Enter your revenue on tab 1</v>
      </c>
    </row>
    <row r="24" ht="22" customHeight="1">
      <c r="B24" s="78" t="str">
        <f>IF(Revenue="","",IF(LeverCount=0,"","Evidence today: "&amp;COUNTIF(LeverEvidence,"in our data")&amp;" of "&amp;LeverCount&amp;" picked levers are visible in our data — the diagnostic gate on tab 3 asks for "&amp;TEXT(GateDiagUsed,"0%")&amp;" of the prize confirmed."))</f>
        <v/>
      </c>
    </row>
    <row r="25" ht="26" customHeight="1">
      <c r="B25" s="64" t="inlineStr">
        <is>
          <t>Prize the case runs on</t>
        </is>
      </c>
      <c r="D25" s="79" t="str">
        <f>IF(COUNTIF(LeverEvidence,"in our data")&gt;0,"My levers, bottom-up","Conservative 1% rule")</f>
        <v>Conservative 1% rule</v>
      </c>
      <c r="E25" s="15" t="n"/>
      <c r="F25" s="80" t="n"/>
      <c r="G25" s="12" t="n"/>
      <c r="H25" s="81" t="str">
        <f>IF(F25="",D25,F25)</f>
        <v>Conservative 1% rule</v>
      </c>
      <c r="J25" s="53" t="str">
        <f>IF(Revenue="","",IF(AND(PrizeBasisUsed="My levers, bottom-up",ISNUMBER(LeverPrize)),LeverPrize,PrizeLow))</f>
        <v/>
      </c>
      <c r="K25" s="82" t="inlineStr">
        <is>
          <t>The number every downstream tab, the Canvas and The Ask use. Leave blank to accept the suggestion.</t>
        </is>
      </c>
    </row>
    <row r="26" ht="4" customHeight="1"/>
    <row r="27" ht="17" customHeight="1">
      <c r="B27" s="6" t="inlineStr">
        <is>
          <t>WHAT THE CANVAS WILL SAY · your three biggest levers</t>
        </is>
      </c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 ht="24" customHeight="1">
      <c r="B28" s="83" t="str">
        <f>IF(LeverCount&lt;1,"",IFERROR(INDEX($K$9:$K$16,MATCH(1,$D$38:$D$45,0)),""))</f>
        <v/>
      </c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</row>
    <row r="29" ht="24" customHeight="1">
      <c r="B29" s="83" t="str">
        <f>IF(LeverCount&lt;2,"",IFERROR(INDEX($K$9:$K$16,MATCH(2,$D$38:$D$45,0)),""))</f>
        <v/>
      </c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</row>
    <row r="30" ht="24" customHeight="1">
      <c r="B30" s="83" t="str">
        <f>IF(LeverCount&lt;3,"",IFERROR(INDEX($K$9:$K$16,MATCH(3,$D$38:$D$45,0)),""))</f>
        <v/>
      </c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</row>
    <row r="31" ht="4" customHeight="1"/>
    <row r="32" ht="17" customHeight="1">
      <c r="B32" s="6" t="inlineStr">
        <is>
          <t>DRAFT IT WITH AI · optional</t>
        </is>
      </c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 ht="56" customHeight="1">
      <c r="B33" s="84" t="str">
        <f>IF(Revenue="","Enter revenue on tab 1 and pick your levers above; the prompt writes itself.","Draft a one-paragraph Opportunity statement for a CFO — at most 90 words, plain and specific, no hype. Company: "&amp;IF(Company="","[company]",Company)&amp;", "&amp;IF(ABS((Revenue))&gt;=1000000,TEXT((Revenue)/1000000,"$0.0")&amp;"M",TEXT((Revenue)/1000,"$#,##0")&amp;"K")&amp;" revenue, "&amp;IF(Industry="","[industry]",Industry)&amp;", "&amp;IF(OpMargin="","[margin]",TEXT(OpMargin,"0%"))&amp;" operating margin. Initiative: "&amp;IF(InitiativeName="","[initiative]",InitiativeName)&amp;". Levers and sizing: "&amp;IF(Lever1Text="","[pick your levers on this tab]",Lever1Text)&amp;IF(Lever2Text="","","; "&amp;Lever2Text)&amp;IF(Lever3Text="","","; "&amp;Lever3Text)&amp;". Symptoms: [add two or three from the Self-Check tab]. End with the one number we would put in the case: "&amp;IF(ABS((PrizeUsed))&gt;=1000000,TEXT((PrizeUsed)/1000000,"$0.0")&amp;"M",TEXT((PrizeUsed)/1000,"$#,##0")&amp;"K")&amp;" per year.")</f>
        <v>Enter revenue on tab 1 and pick your levers above; the prompt writes itself.</v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</row>
    <row r="34" ht="20" customHeight="1">
      <c r="B34" s="16" t="inlineStr">
        <is>
          <t>Copy the box above into Copilot, Claude or ChatGPT, then paste the paragraph you like into “Your wording” under the Canvas (tab 4).</t>
        </is>
      </c>
    </row>
    <row r="35" ht="28" customHeight="1">
      <c r="B35" s="16" t="inlineStr">
        <is>
          <t>Typical ranges are planning placeholders from Revology Analytics / Revify engagements and the webinar's cases, not research figures. They stay UNCONFIRMED until you replace them with your own estimate or the number the diagnostic gives you. Overlap haircut: levers share dollars, so 20% is a planning assumption.</t>
        </is>
      </c>
    </row>
    <row r="37">
      <c r="B37" s="85" t="inlineStr">
        <is>
          <t>Ranking helpers (not printed): used $ with a tie-break epsilon, then rank</t>
        </is>
      </c>
    </row>
    <row r="38">
      <c r="B38" s="85" t="inlineStr">
        <is>
          <t>Lever 1</t>
        </is>
      </c>
      <c r="C38" s="86">
        <f>IF(I9="",0,I9+8/1000000)</f>
        <v>0</v>
      </c>
      <c r="D38" s="87">
        <f>1+IF($C$39&gt;$C$38,1,0)+IF($C$40&gt;$C$38,1,0)+IF($C$41&gt;$C$38,1,0)+IF($C$42&gt;$C$38,1,0)+IF($C$43&gt;$C$38,1,0)+IF($C$44&gt;$C$38,1,0)+IF($C$45&gt;$C$38,1,0)</f>
        <v>1</v>
      </c>
    </row>
    <row r="39">
      <c r="B39" s="85" t="inlineStr">
        <is>
          <t>Lever 2</t>
        </is>
      </c>
      <c r="C39" s="86">
        <f>IF(I10="",0,I10+7/1000000)</f>
        <v>0</v>
      </c>
      <c r="D39" s="87">
        <f>1+IF($C$38&gt;$C$39,1,0)+IF($C$40&gt;$C$39,1,0)+IF($C$41&gt;$C$39,1,0)+IF($C$42&gt;$C$39,1,0)+IF($C$43&gt;$C$39,1,0)+IF($C$44&gt;$C$39,1,0)+IF($C$45&gt;$C$39,1,0)</f>
        <v>1</v>
      </c>
    </row>
    <row r="40">
      <c r="B40" s="85" t="inlineStr">
        <is>
          <t>Lever 3</t>
        </is>
      </c>
      <c r="C40" s="86">
        <f>IF(I11="",0,I11+6/1000000)</f>
        <v>0</v>
      </c>
      <c r="D40" s="87">
        <f>1+IF($C$38&gt;$C$40,1,0)+IF($C$39&gt;$C$40,1,0)+IF($C$41&gt;$C$40,1,0)+IF($C$42&gt;$C$40,1,0)+IF($C$43&gt;$C$40,1,0)+IF($C$44&gt;$C$40,1,0)+IF($C$45&gt;$C$40,1,0)</f>
        <v>1</v>
      </c>
    </row>
    <row r="41">
      <c r="B41" s="85" t="inlineStr">
        <is>
          <t>Lever 4</t>
        </is>
      </c>
      <c r="C41" s="86">
        <f>IF(I12="",0,I12+5/1000000)</f>
        <v>0</v>
      </c>
      <c r="D41" s="87">
        <f>1+IF($C$38&gt;$C$41,1,0)+IF($C$39&gt;$C$41,1,0)+IF($C$40&gt;$C$41,1,0)+IF($C$42&gt;$C$41,1,0)+IF($C$43&gt;$C$41,1,0)+IF($C$44&gt;$C$41,1,0)+IF($C$45&gt;$C$41,1,0)</f>
        <v>1</v>
      </c>
    </row>
    <row r="42">
      <c r="B42" s="85" t="inlineStr">
        <is>
          <t>Lever 5</t>
        </is>
      </c>
      <c r="C42" s="86">
        <f>IF(I13="",0,I13+4/1000000)</f>
        <v>0</v>
      </c>
      <c r="D42" s="87">
        <f>1+IF($C$38&gt;$C$42,1,0)+IF($C$39&gt;$C$42,1,0)+IF($C$40&gt;$C$42,1,0)+IF($C$41&gt;$C$42,1,0)+IF($C$43&gt;$C$42,1,0)+IF($C$44&gt;$C$42,1,0)+IF($C$45&gt;$C$42,1,0)</f>
        <v>1</v>
      </c>
    </row>
    <row r="43">
      <c r="B43" s="85" t="inlineStr">
        <is>
          <t>Lever 6</t>
        </is>
      </c>
      <c r="C43" s="86">
        <f>IF(I14="",0,I14+3/1000000)</f>
        <v>0</v>
      </c>
      <c r="D43" s="87">
        <f>1+IF($C$38&gt;$C$43,1,0)+IF($C$39&gt;$C$43,1,0)+IF($C$40&gt;$C$43,1,0)+IF($C$41&gt;$C$43,1,0)+IF($C$42&gt;$C$43,1,0)+IF($C$44&gt;$C$43,1,0)+IF($C$45&gt;$C$43,1,0)</f>
        <v>1</v>
      </c>
    </row>
    <row r="44">
      <c r="B44" s="85" t="inlineStr">
        <is>
          <t>Lever 7</t>
        </is>
      </c>
      <c r="C44" s="86">
        <f>IF(I15="",0,I15+2/1000000)</f>
        <v>0</v>
      </c>
      <c r="D44" s="87">
        <f>1+IF($C$38&gt;$C$44,1,0)+IF($C$39&gt;$C$44,1,0)+IF($C$40&gt;$C$44,1,0)+IF($C$41&gt;$C$44,1,0)+IF($C$42&gt;$C$44,1,0)+IF($C$43&gt;$C$44,1,0)+IF($C$45&gt;$C$44,1,0)</f>
        <v>1</v>
      </c>
    </row>
    <row r="45">
      <c r="B45" s="85" t="inlineStr">
        <is>
          <t>Lever 8</t>
        </is>
      </c>
      <c r="C45" s="86">
        <f>IF(I16="",0,I16+1/1000000)</f>
        <v>0</v>
      </c>
      <c r="D45" s="87">
        <f>1+IF($C$38&gt;$C$45,1,0)+IF($C$39&gt;$C$45,1,0)+IF($C$40&gt;$C$45,1,0)+IF($C$41&gt;$C$45,1,0)+IF($C$42&gt;$C$45,1,0)+IF($C$43&gt;$C$45,1,0)+IF($C$44&gt;$C$45,1,0)</f>
        <v>1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7">
    <mergeCell ref="B25:C25"/>
    <mergeCell ref="F25:G25"/>
    <mergeCell ref="B30:K30"/>
    <mergeCell ref="B22:C22"/>
    <mergeCell ref="B24:K24"/>
    <mergeCell ref="B33:K33"/>
    <mergeCell ref="H25:I25"/>
    <mergeCell ref="B21:C21"/>
    <mergeCell ref="B32:K32"/>
    <mergeCell ref="B35:K35"/>
    <mergeCell ref="B7:K7"/>
    <mergeCell ref="B18:K18"/>
    <mergeCell ref="D6:G6"/>
    <mergeCell ref="B19:C19"/>
    <mergeCell ref="B27:K27"/>
    <mergeCell ref="H6:K6"/>
    <mergeCell ref="H21:K21"/>
    <mergeCell ref="B2:K2"/>
    <mergeCell ref="D25:E25"/>
    <mergeCell ref="B6:C6"/>
    <mergeCell ref="B23:K23"/>
    <mergeCell ref="B1:K1"/>
    <mergeCell ref="B20:C20"/>
    <mergeCell ref="B29:K29"/>
    <mergeCell ref="B34:K34"/>
    <mergeCell ref="B28:K28"/>
    <mergeCell ref="H19:K19"/>
  </mergeCells>
  <conditionalFormatting sqref="G9">
    <cfRule type="expression" priority="1" dxfId="1" stopIfTrue="0">
      <formula>$D$9&lt;&gt;"Yes"</formula>
    </cfRule>
  </conditionalFormatting>
  <conditionalFormatting sqref="K9">
    <cfRule type="expression" priority="2" dxfId="1" stopIfTrue="0">
      <formula>$D$9&lt;&gt;"Yes"</formula>
    </cfRule>
  </conditionalFormatting>
  <conditionalFormatting sqref="G10">
    <cfRule type="expression" priority="3" dxfId="1" stopIfTrue="0">
      <formula>$D$10&lt;&gt;"Yes"</formula>
    </cfRule>
  </conditionalFormatting>
  <conditionalFormatting sqref="K10">
    <cfRule type="expression" priority="4" dxfId="1" stopIfTrue="0">
      <formula>$D$10&lt;&gt;"Yes"</formula>
    </cfRule>
  </conditionalFormatting>
  <conditionalFormatting sqref="G11">
    <cfRule type="expression" priority="5" dxfId="1" stopIfTrue="0">
      <formula>$D$11&lt;&gt;"Yes"</formula>
    </cfRule>
  </conditionalFormatting>
  <conditionalFormatting sqref="K11">
    <cfRule type="expression" priority="6" dxfId="1" stopIfTrue="0">
      <formula>$D$11&lt;&gt;"Yes"</formula>
    </cfRule>
  </conditionalFormatting>
  <conditionalFormatting sqref="G12">
    <cfRule type="expression" priority="7" dxfId="1" stopIfTrue="0">
      <formula>$D$12&lt;&gt;"Yes"</formula>
    </cfRule>
  </conditionalFormatting>
  <conditionalFormatting sqref="K12">
    <cfRule type="expression" priority="8" dxfId="1" stopIfTrue="0">
      <formula>$D$12&lt;&gt;"Yes"</formula>
    </cfRule>
  </conditionalFormatting>
  <conditionalFormatting sqref="G13">
    <cfRule type="expression" priority="9" dxfId="1" stopIfTrue="0">
      <formula>$D$13&lt;&gt;"Yes"</formula>
    </cfRule>
  </conditionalFormatting>
  <conditionalFormatting sqref="K13">
    <cfRule type="expression" priority="10" dxfId="1" stopIfTrue="0">
      <formula>$D$13&lt;&gt;"Yes"</formula>
    </cfRule>
  </conditionalFormatting>
  <conditionalFormatting sqref="G14">
    <cfRule type="expression" priority="11" dxfId="1" stopIfTrue="0">
      <formula>$D$14&lt;&gt;"Yes"</formula>
    </cfRule>
  </conditionalFormatting>
  <conditionalFormatting sqref="K14">
    <cfRule type="expression" priority="12" dxfId="1" stopIfTrue="0">
      <formula>$D$14&lt;&gt;"Yes"</formula>
    </cfRule>
  </conditionalFormatting>
  <conditionalFormatting sqref="G15">
    <cfRule type="expression" priority="13" dxfId="1" stopIfTrue="0">
      <formula>$D$15&lt;&gt;"Yes"</formula>
    </cfRule>
  </conditionalFormatting>
  <conditionalFormatting sqref="K15">
    <cfRule type="expression" priority="14" dxfId="1" stopIfTrue="0">
      <formula>$D$15&lt;&gt;"Yes"</formula>
    </cfRule>
  </conditionalFormatting>
  <conditionalFormatting sqref="G16">
    <cfRule type="expression" priority="15" dxfId="1" stopIfTrue="0">
      <formula>$D$16&lt;&gt;"Yes"</formula>
    </cfRule>
  </conditionalFormatting>
  <conditionalFormatting sqref="K16">
    <cfRule type="expression" priority="16" dxfId="1" stopIfTrue="0">
      <formula>$D$16&lt;&gt;"Yes"</formula>
    </cfRule>
  </conditionalFormatting>
  <dataValidations count="34">
    <dataValidation sqref="D9" showDropDown="0" showInputMessage="1" showErrorMessage="1" allowBlank="1" errorTitle="RGM Initiative Playbook" error="Pick from the list" prompt="Price bands, approval workflow, rep-level dispersion. Webinar: discounts cluster at approval limits; $5M on a $300M distributor." type="list" errorStyle="stop">
      <formula1>"Yes"</formula1>
    </dataValidation>
    <dataValidation sqref="E9:F9" showDropDown="0" showInputMessage="0" showErrorMessage="1" allowBlank="1" errorTitle="RGM Initiative Playbook" error="Enter a percentage of sales between 0% and 10%." type="decimal" errorStyle="stop" operator="between">
      <formula1>0</formula1>
      <formula2>0.1</formula2>
    </dataValidation>
    <dataValidation sqref="H9" showDropDown="0" showInputMessage="0" showErrorMessage="1" allowBlank="1" errorTitle="RGM Initiative Playbook" error="Enter a dollar amount (0 or more)." type="decimal" errorStyle="stop" operator="greaterThanOrEqual">
      <formula1>0</formula1>
    </dataValidation>
    <dataValidation sqref="J9" showDropDown="0" showInputMessage="0" showErrorMessage="1" allowBlank="1" errorTitle="RGM Initiative Playbook" error="Pick from the list" type="list" errorStyle="stop">
      <formula1>"none,anecdotal,in our data"</formula1>
    </dataValidation>
    <dataValidation sqref="D10" showDropDown="0" showInputMessage="1" showErrorMessage="1" allowBlank="1" errorTitle="RGM Initiative Playbook" error="Pick from the list" prompt="List increases that reach the invoice; cost changes passed through on time, not months later." type="list" errorStyle="stop">
      <formula1>"Yes"</formula1>
    </dataValidation>
    <dataValidation sqref="E10:F10" showDropDown="0" showInputMessage="0" showErrorMessage="1" allowBlank="1" errorTitle="RGM Initiative Playbook" error="Enter a percentage of sales between 0% and 10%." type="decimal" errorStyle="stop" operator="between">
      <formula1>0</formula1>
      <formula2>0.1</formula2>
    </dataValidation>
    <dataValidation sqref="H10" showDropDown="0" showInputMessage="0" showErrorMessage="1" allowBlank="1" errorTitle="RGM Initiative Playbook" error="Enter a dollar amount (0 or more)." type="decimal" errorStyle="stop" operator="greaterThanOrEqual">
      <formula1>0</formula1>
    </dataValidation>
    <dataValidation sqref="J10" showDropDown="0" showInputMessage="0" showErrorMessage="1" allowBlank="1" errorTitle="RGM Initiative Playbook" error="Pick from the list" type="list" errorStyle="stop">
      <formula1>"none,anecdotal,in our data"</formula1>
    </dataValidation>
    <dataValidation sqref="D11" showDropDown="0" showInputMessage="1" showErrorMessage="1" allowBlank="1" errorTitle="RGM Initiative Playbook" error="Pick from the list" prompt="Prices by segment and willingness to pay instead of cost-plus; surgical, not across-the-board." type="list" errorStyle="stop">
      <formula1>"Yes"</formula1>
    </dataValidation>
    <dataValidation sqref="E11:F11" showDropDown="0" showInputMessage="0" showErrorMessage="1" allowBlank="1" errorTitle="RGM Initiative Playbook" error="Enter a percentage of sales between 0% and 10%." type="decimal" errorStyle="stop" operator="between">
      <formula1>0</formula1>
      <formula2>0.1</formula2>
    </dataValidation>
    <dataValidation sqref="H11" showDropDown="0" showInputMessage="0" showErrorMessage="1" allowBlank="1" errorTitle="RGM Initiative Playbook" error="Enter a dollar amount (0 or more)." type="decimal" errorStyle="stop" operator="greaterThanOrEqual">
      <formula1>0</formula1>
    </dataValidation>
    <dataValidation sqref="J11" showDropDown="0" showInputMessage="0" showErrorMessage="1" allowBlank="1" errorTitle="RGM Initiative Playbook" error="Pick from the list" type="list" errorStyle="stop">
      <formula1>"none,anecdotal,in our data"</formula1>
    </dataValidation>
    <dataValidation sqref="D12" showDropDown="0" showInputMessage="1" showErrorMessage="1" allowBlank="1" errorTitle="RGM Initiative Playbook" error="Pick from the list" prompt="Defend at-risk accounts with retention pricing by value. Webinar: $2–3M of preventable churn on $300M." type="list" errorStyle="stop">
      <formula1>"Yes"</formula1>
    </dataValidation>
    <dataValidation sqref="E12:F12" showDropDown="0" showInputMessage="0" showErrorMessage="1" allowBlank="1" errorTitle="RGM Initiative Playbook" error="Enter a percentage of sales between 0% and 10%." type="decimal" errorStyle="stop" operator="between">
      <formula1>0</formula1>
      <formula2>0.1</formula2>
    </dataValidation>
    <dataValidation sqref="H12" showDropDown="0" showInputMessage="0" showErrorMessage="1" allowBlank="1" errorTitle="RGM Initiative Playbook" error="Enter a dollar amount (0 or more)." type="decimal" errorStyle="stop" operator="greaterThanOrEqual">
      <formula1>0</formula1>
    </dataValidation>
    <dataValidation sqref="J12" showDropDown="0" showInputMessage="0" showErrorMessage="1" allowBlank="1" errorTitle="RGM Initiative Playbook" error="Pick from the list" type="list" errorStyle="stop">
      <formula1>"none,anecdotal,in our data"</formula1>
    </dataValidation>
    <dataValidation sqref="D13" showDropDown="0" showInputMessage="1" showErrorMessage="1" allowBlank="1" errorTitle="RGM Initiative Playbook" error="Pick from the list" prompt="Cut promotions that don't pay back and redeploy the spend. Webinar: 20–30¢ lost per promo dollar." type="list" errorStyle="stop">
      <formula1>"Yes"</formula1>
    </dataValidation>
    <dataValidation sqref="E13:F13" showDropDown="0" showInputMessage="0" showErrorMessage="1" allowBlank="1" errorTitle="RGM Initiative Playbook" error="Enter a percentage of sales between 0% and 10%." type="decimal" errorStyle="stop" operator="between">
      <formula1>0</formula1>
      <formula2>0.1</formula2>
    </dataValidation>
    <dataValidation sqref="H13" showDropDown="0" showInputMessage="0" showErrorMessage="1" allowBlank="1" errorTitle="RGM Initiative Playbook" error="Enter a dollar amount (0 or more)." type="decimal" errorStyle="stop" operator="greaterThanOrEqual">
      <formula1>0</formula1>
    </dataValidation>
    <dataValidation sqref="J13" showDropDown="0" showInputMessage="0" showErrorMessage="1" allowBlank="1" errorTitle="RGM Initiative Playbook" error="Pick from the list" type="list" errorStyle="stop">
      <formula1>"none,anecdotal,in our data"</formula1>
    </dataValidation>
    <dataValidation sqref="D14" showDropDown="0" showInputMessage="1" showErrorMessage="1" allowBlank="1" errorTitle="RGM Initiative Playbook" error="Pick from the list" prompt="Attach and share-of-wallet gaps in existing accounts, counted as incremental gross profit. Webinar: half of $12M identified." type="list" errorStyle="stop">
      <formula1>"Yes"</formula1>
    </dataValidation>
    <dataValidation sqref="E14:F14" showDropDown="0" showInputMessage="0" showErrorMessage="1" allowBlank="1" errorTitle="RGM Initiative Playbook" error="Enter a percentage of sales between 0% and 10%." type="decimal" errorStyle="stop" operator="between">
      <formula1>0</formula1>
      <formula2>0.1</formula2>
    </dataValidation>
    <dataValidation sqref="H14" showDropDown="0" showInputMessage="0" showErrorMessage="1" allowBlank="1" errorTitle="RGM Initiative Playbook" error="Enter a dollar amount (0 or more)." type="decimal" errorStyle="stop" operator="greaterThanOrEqual">
      <formula1>0</formula1>
    </dataValidation>
    <dataValidation sqref="J14" showDropDown="0" showInputMessage="0" showErrorMessage="1" allowBlank="1" errorTitle="RGM Initiative Playbook" error="Pick from the list" type="list" errorStyle="stop">
      <formula1>"none,anecdotal,in our data"</formula1>
    </dataValidation>
    <dataValidation sqref="D15" showDropDown="0" showInputMessage="1" showErrorMessage="1" allowBlank="1" errorTitle="RGM Initiative Playbook" error="Pick from the list" prompt="Payment terms, freight recovery, early-pay discounts and rebates that outgrew their purpose." type="list" errorStyle="stop">
      <formula1>"Yes"</formula1>
    </dataValidation>
    <dataValidation sqref="E15:F15" showDropDown="0" showInputMessage="0" showErrorMessage="1" allowBlank="1" errorTitle="RGM Initiative Playbook" error="Enter a percentage of sales between 0% and 10%." type="decimal" errorStyle="stop" operator="between">
      <formula1>0</formula1>
      <formula2>0.1</formula2>
    </dataValidation>
    <dataValidation sqref="H15" showDropDown="0" showInputMessage="0" showErrorMessage="1" allowBlank="1" errorTitle="RGM Initiative Playbook" error="Enter a dollar amount (0 or more)." type="decimal" errorStyle="stop" operator="greaterThanOrEqual">
      <formula1>0</formula1>
    </dataValidation>
    <dataValidation sqref="J15" showDropDown="0" showInputMessage="0" showErrorMessage="1" allowBlank="1" errorTitle="RGM Initiative Playbook" error="Pick from the list" type="list" errorStyle="stop">
      <formula1>"none,anecdotal,in our data"</formula1>
    </dataValidation>
    <dataValidation sqref="D16" showDropDown="0" showInputMessage="1" showErrorMessage="1" allowBlank="1" errorTitle="RGM Initiative Playbook" error="Pick from the list" prompt="Steer volume to higher-margin products, customers and channels." type="list" errorStyle="stop">
      <formula1>"Yes"</formula1>
    </dataValidation>
    <dataValidation sqref="E16:F16" showDropDown="0" showInputMessage="0" showErrorMessage="1" allowBlank="1" errorTitle="RGM Initiative Playbook" error="Enter a percentage of sales between 0% and 10%." type="decimal" errorStyle="stop" operator="between">
      <formula1>0</formula1>
      <formula2>0.1</formula2>
    </dataValidation>
    <dataValidation sqref="H16" showDropDown="0" showInputMessage="0" showErrorMessage="1" allowBlank="1" errorTitle="RGM Initiative Playbook" error="Enter a dollar amount (0 or more)." type="decimal" errorStyle="stop" operator="greaterThanOrEqual">
      <formula1>0</formula1>
    </dataValidation>
    <dataValidation sqref="J16" showDropDown="0" showInputMessage="0" showErrorMessage="1" allowBlank="1" errorTitle="RGM Initiative Playbook" error="Pick from the list" type="list" errorStyle="stop">
      <formula1>"none,anecdotal,in our data"</formula1>
    </dataValidation>
    <dataValidation sqref="E21" showDropDown="0" showInputMessage="0" showErrorMessage="1" allowBlank="1" errorTitle="RGM Initiative Playbook" error="Enter a haircut between 0% and 90%." type="decimal" errorStyle="stop" operator="between">
      <formula1>0</formula1>
      <formula2>0.9</formula2>
    </dataValidation>
    <dataValidation sqref="F25" showDropDown="0" showInputMessage="0" showErrorMessage="1" allowBlank="1" errorTitle="RGM Initiative Playbook" error="Pick from the list" type="list" errorStyle="stop">
      <formula1>"Conservative 1% rule,My levers, bottom-up"</formula1>
    </dataValidation>
  </dataValidations>
  <hyperlinks>
    <hyperlink ref="B4" location="'Start Here'!A1" display="← Start Here"/>
    <hyperlink ref="E4" location="'1 Company &amp; Prize'!A1" display="← Previous"/>
    <hyperlink ref="H4" location="'3 Investment'!A1" display="Next →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7DB73E"/>
    <outlinePr summaryBelow="1" summaryRight="1"/>
    <pageSetUpPr fitToPage="1"/>
  </sheetPr>
  <dimension ref="A1:I47"/>
  <sheetViews>
    <sheetView showGridLines="0" zoomScale="10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4" customWidth="1" min="1" max="1"/>
    <col width="28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66" customWidth="1" min="8" max="8"/>
    <col width="2.4" customWidth="1" min="9" max="9"/>
  </cols>
  <sheetData>
    <row r="1" ht="30" customHeight="1">
      <c r="A1" s="1" t="n"/>
      <c r="B1" s="2" t="inlineStr">
        <is>
          <t>Step 3 — Phase the Investment</t>
        </is>
      </c>
      <c r="C1" s="1" t="n"/>
      <c r="D1" s="1" t="n"/>
      <c r="E1" s="1" t="n"/>
      <c r="F1" s="1" t="n"/>
      <c r="G1" s="1" t="n"/>
      <c r="H1" s="1" t="n"/>
      <c r="I1" s="1" t="n"/>
    </row>
    <row r="2" ht="32" customHeight="1">
      <c r="A2" s="1" t="n"/>
      <c r="B2" s="3" t="inlineStr">
        <is>
          <t>Answers “How certain?” — a small first check, stage gates with thresholds, and an all-in ladder including adoption. Fees: Revology Analytics / Revify 2025–26 benchmarks, rounded; Revify's diagnostic fees are public at myrevify.com.</t>
        </is>
      </c>
      <c r="C2" s="1" t="n"/>
      <c r="D2" s="1" t="n"/>
      <c r="E2" s="1" t="n"/>
      <c r="F2" s="1" t="n"/>
      <c r="G2" s="1" t="n"/>
      <c r="H2" s="1" t="n"/>
      <c r="I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16" customHeight="1">
      <c r="B4" s="5" t="inlineStr">
        <is>
          <t>← Start Here</t>
        </is>
      </c>
      <c r="C4" s="5" t="inlineStr">
        <is>
          <t>← Previous</t>
        </is>
      </c>
      <c r="D4" s="5" t="inlineStr">
        <is>
          <t>Next →</t>
        </is>
      </c>
    </row>
    <row r="5" ht="4" customHeight="1"/>
    <row r="6" ht="22" customHeight="1">
      <c r="B6" s="26" t="inlineStr">
        <is>
          <t>Recommended first step</t>
        </is>
      </c>
      <c r="C6" s="88" t="str">
        <f>RecommendedStep</f>
        <v>Enter revenue on tab 1</v>
      </c>
      <c r="H6" s="16" t="inlineStr">
        <is>
          <t>From the Self-Check tab (at the back) and your company size on tab 1.</t>
        </is>
      </c>
    </row>
    <row r="7" ht="4" customHeight="1"/>
    <row r="8" ht="17" customHeight="1">
      <c r="B8" s="6" t="inlineStr">
        <is>
          <t>THE LADDER · suggested for your company size · overwrite any amount in the green column</t>
        </is>
      </c>
      <c r="C8" s="7" t="n"/>
      <c r="D8" s="7" t="n"/>
      <c r="E8" s="7" t="n"/>
      <c r="F8" s="7" t="n"/>
      <c r="G8" s="7" t="n"/>
      <c r="H8" s="7" t="n"/>
    </row>
    <row r="9" ht="16" customHeight="1">
      <c r="B9" s="17" t="inlineStr">
        <is>
          <t>Phase</t>
        </is>
      </c>
      <c r="C9" s="17" t="inlineStr">
        <is>
          <t>Benchmark fee · duration</t>
        </is>
      </c>
      <c r="D9" s="7" t="n"/>
      <c r="E9" s="17" t="inlineStr">
        <is>
          <t>Suggested</t>
        </is>
      </c>
      <c r="F9" s="17" t="inlineStr">
        <is>
          <t>Your plan ($)</t>
        </is>
      </c>
      <c r="G9" s="17" t="inlineStr">
        <is>
          <t>Used</t>
        </is>
      </c>
      <c r="H9" s="17" t="inlineStr">
        <is>
          <t>What you get · the gate it clears · your exit right</t>
        </is>
      </c>
    </row>
    <row r="10" ht="26" customHeight="1">
      <c r="B10" s="67" t="inlineStr">
        <is>
          <t>Internal first pass (only if you do it yourselves)</t>
        </is>
      </c>
      <c r="C10" s="89" t="inlineStr">
        <is>
          <t>Your team's time · 4–8 weeks</t>
        </is>
      </c>
      <c r="D10" s="18" t="n"/>
      <c r="E10" s="90" t="str">
        <f>IF(Revenue="","",IF(RouteUsed="Ourselves first","your internal time","—"))</f>
        <v/>
      </c>
      <c r="F10" s="91" t="n"/>
      <c r="G10" s="92" t="str">
        <f>IF(Revenue="","",IF(RouteUsed="Ourselves first",IF(F10="",0,F10),0))</f>
        <v/>
      </c>
      <c r="H10" s="73" t="inlineStr">
        <is>
          <t>Size the prize from our own transaction data: list-to-pocket gap, discount dispersion, churn. Gate: a number Finance will sign. Exit: stop here if Finance won't.</t>
        </is>
      </c>
    </row>
    <row r="11" ht="26" customHeight="1">
      <c r="B11" s="67" t="inlineStr">
        <is>
          <t>Diagnostic</t>
        </is>
      </c>
      <c r="C11" s="89" t="inlineStr">
        <is>
          <t>$25–45K · 2–6 weeks</t>
        </is>
      </c>
      <c r="D11" s="18" t="n"/>
      <c r="E11" s="90" t="str">
        <f>IF(Revenue="","",IF(Band=3,"focused sprint first",35000))</f>
        <v/>
      </c>
      <c r="F11" s="91" t="n"/>
      <c r="G11" s="92" t="str">
        <f>IF(Revenue="","",IF(F11="",N(E11),F11))</f>
        <v/>
      </c>
      <c r="H11" s="73" t="inlineStr">
        <is>
          <t>Waterfall + margin-leak scan, sized opportunity, quick wins, the case baseline. Gate: the data supports the prize. Exit: stop before the sprint if it doesn't.</t>
        </is>
      </c>
    </row>
    <row r="12" ht="26" customHeight="1">
      <c r="B12" s="67" t="inlineStr">
        <is>
          <t>Pilot / analytics sprint</t>
        </is>
      </c>
      <c r="C12" s="89" t="inlineStr">
        <is>
          <t>$70–135K · 6–12 weeks</t>
        </is>
      </c>
      <c r="D12" s="18" t="n"/>
      <c r="E12" s="90" t="str">
        <f>IF(Revenue="","",100000)</f>
        <v/>
      </c>
      <c r="F12" s="91" t="n"/>
      <c r="G12" s="92" t="str">
        <f>IF(Revenue="","",IF(F12="",N(E12),F12))</f>
        <v/>
      </c>
      <c r="H12" s="73" t="inlineStr">
        <is>
          <t>Elasticity + promo-ROI on priority categories; a guardrailed pilot proves value vs. baseline. Gate: measured lift. Exit: stop before the build if the lift isn't there.</t>
        </is>
      </c>
    </row>
    <row r="13" ht="26" customHeight="1">
      <c r="B13" s="67" t="inlineStr">
        <is>
          <t>Scale / capability build</t>
        </is>
      </c>
      <c r="C13" s="89" t="inlineStr">
        <is>
          <t>$135–270K · 12–16 weeks</t>
        </is>
      </c>
      <c r="D13" s="18" t="n"/>
      <c r="E13" s="90" t="str">
        <f>IF(Revenue="","",IF(Band=1,"decide after the sprint",IF(Band=2,200000,400000)))</f>
        <v/>
      </c>
      <c r="F13" s="91" t="n"/>
      <c r="G13" s="92" t="str">
        <f>IF(Revenue="","",IF(F13="",N(E13),F13))</f>
        <v/>
      </c>
      <c r="H13" s="73" t="inlineStr">
        <is>
          <t>Platform build-out, playbooks + governance, team enablement and handoff. Gate: adoption on the frontline. Exit: pause the rollout if adoption stalls.</t>
        </is>
      </c>
    </row>
    <row r="14" ht="26" customHeight="1">
      <c r="B14" s="67" t="inlineStr">
        <is>
          <t>Adoption &amp; change management</t>
        </is>
      </c>
      <c r="C14" s="93" t="n"/>
      <c r="D14" s="94">
        <f>IF(AdoptMultiplier="",1,AdoptMultiplier)</f>
        <v>1</v>
      </c>
      <c r="E14" s="90" t="str">
        <f>IF(Revenue="","",IF(N(PlanBuild)&gt;0,AdoptMultiplierUsed*PlanBuild,"decide with the build"))</f>
        <v/>
      </c>
      <c r="F14" s="91" t="n"/>
      <c r="G14" s="92" t="str">
        <f>IF(Revenue="","",IF(F14="",N(E14),F14))</f>
        <v/>
      </c>
      <c r="H14" s="73" t="inlineStr">
        <is>
          <t>Training, guardrails, playbook rollout, frontline coaching. Webinar rule: budget 1–2× the build fee — advisory plus your team's time. The CFO gives bonus points for it.</t>
        </is>
      </c>
    </row>
    <row r="15" ht="26" customHeight="1">
      <c r="B15" s="67" t="inlineStr">
        <is>
          <t>Internal team time</t>
        </is>
      </c>
      <c r="C15" s="95" t="n"/>
      <c r="D15" s="96" t="n"/>
      <c r="E15" s="90" t="str">
        <f>IF(OR(TeamHours="",TeamRate=""),"hours × rate",TeamHours*TeamRate)</f>
        <v>hours × rate</v>
      </c>
      <c r="F15" s="91" t="n"/>
      <c r="G15" s="92" t="str">
        <f>IF(Revenue="","",IF(F15="",N(E15),F15))</f>
        <v/>
      </c>
      <c r="H15" s="73" t="inlineStr">
        <is>
          <t>Our people's hours on the program at a loaded rate. Optional; ships blank. Counted in the all-in total and the payback, spread across every month before sustain.</t>
        </is>
      </c>
    </row>
    <row r="16" ht="26" customHeight="1">
      <c r="B16" s="67" t="inlineStr">
        <is>
          <t>Fractional / sustain (per month)</t>
        </is>
      </c>
      <c r="C16" s="89" t="inlineStr">
        <is>
          <t>$6.5K+/mo · Ongoing</t>
        </is>
      </c>
      <c r="D16" s="18" t="n"/>
      <c r="E16" s="90" t="str">
        <f>IF(Revenue="","",IF(N(PlanBuild)&gt;0,6500,0))</f>
        <v/>
      </c>
      <c r="F16" s="91" t="n"/>
      <c r="G16" s="92" t="str">
        <f>IF(Revenue="","",IF(F16="",N(E16),F16))</f>
        <v/>
      </c>
      <c r="H16" s="73" t="inlineStr">
        <is>
          <t>Keeps models, governance and cadence alive after handoff (≈15–40% of the build fee per year, depending on build size). Suggested only when a build is funded.</t>
        </is>
      </c>
    </row>
    <row r="17" ht="26" customHeight="1">
      <c r="B17" s="67" t="inlineStr">
        <is>
          <t>Other one-time (optional)</t>
        </is>
      </c>
      <c r="C17" s="89" t="inlineStr">
        <is>
          <t>Varies · —</t>
        </is>
      </c>
      <c r="D17" s="18" t="n"/>
      <c r="E17" s="90" t="inlineStr">
        <is>
          <t>optional</t>
        </is>
      </c>
      <c r="F17" s="91" t="n"/>
      <c r="G17" s="92" t="str">
        <f>IF(Revenue="","",IF(F17="",0,F17))</f>
        <v/>
      </c>
      <c r="H17" s="73" t="inlineStr">
        <is>
          <t>Optional: CPQ / ERP changes, data extraction, external data.</t>
        </is>
      </c>
    </row>
    <row r="18" ht="22" customHeight="1">
      <c r="B18" s="26" t="inlineStr">
        <is>
          <t>Total one-time, all-in (excl. sustain)</t>
        </is>
      </c>
      <c r="E18" s="90" t="str">
        <f>IF(Revenue="","",N(E11)+N(E12)+N(E13)+N(E14))</f>
        <v/>
      </c>
      <c r="G18" s="97" t="str">
        <f>IF(Revenue="","",G10+G11+G12+G13+G14+G15+G17)</f>
        <v/>
      </c>
      <c r="H18" s="16" t="str">
        <f>IF(Revenue="","","Outside spend, excluding our own time: "&amp;IF(ABS((OutsideSpend))&gt;=1000000,TEXT((OutsideSpend)/1000000,"$0.0")&amp;"M",TEXT((OutsideSpend)/1000,"$#,##0")&amp;"K")&amp;".")</f>
        <v/>
      </c>
    </row>
    <row r="19" ht="4" customHeight="1"/>
    <row r="20" ht="17" customHeight="1">
      <c r="B20" s="6" t="inlineStr">
        <is>
          <t>TIMING &amp; RAMP · months from the start date on tab 1 · defaults: value from month 4, run-rate by month 9</t>
        </is>
      </c>
      <c r="C20" s="7" t="n"/>
      <c r="D20" s="7" t="n"/>
      <c r="E20" s="7" t="n"/>
      <c r="F20" s="7" t="n"/>
      <c r="G20" s="7" t="n"/>
      <c r="H20" s="7" t="n"/>
    </row>
    <row r="21" ht="16" customHeight="1">
      <c r="B21" s="17" t="inlineStr">
        <is>
          <t>Setting</t>
        </is>
      </c>
      <c r="C21" s="17" t="inlineStr">
        <is>
          <t>Benchmark</t>
        </is>
      </c>
      <c r="D21" s="7" t="n"/>
      <c r="E21" s="17" t="inlineStr">
        <is>
          <t>Suggested</t>
        </is>
      </c>
      <c r="F21" s="17" t="inlineStr">
        <is>
          <t>Yours</t>
        </is>
      </c>
      <c r="G21" s="17" t="inlineStr">
        <is>
          <t>Used</t>
        </is>
      </c>
      <c r="H21" s="17" t="inlineStr">
        <is>
          <t>What it means</t>
        </is>
      </c>
    </row>
    <row r="22" ht="16" customHeight="1">
      <c r="B22" s="67" t="inlineStr">
        <is>
          <t>Internal first pass — months</t>
        </is>
      </c>
      <c r="C22" s="98" t="inlineStr">
        <is>
          <t>4–8 weeks</t>
        </is>
      </c>
      <c r="D22" s="18" t="n"/>
      <c r="E22" s="99">
        <f>IF(RouteUsed="Ourselves first",2,0)</f>
        <v>0</v>
      </c>
      <c r="F22" s="100" t="n"/>
      <c r="G22" s="101">
        <f>IF(RouteUsed="Ourselves first",IF(F22="",E22,F22),0)</f>
        <v>0</v>
      </c>
      <c r="H22" s="102" t="inlineStr">
        <is>
          <t>Only when you do the first pass yourselves.</t>
        </is>
      </c>
    </row>
    <row r="23" ht="16" customHeight="1">
      <c r="B23" s="67" t="inlineStr">
        <is>
          <t>Diagnostic — months</t>
        </is>
      </c>
      <c r="C23" s="98" t="inlineStr">
        <is>
          <t>2–6 weeks (typically 4–6 with elasticity modeling)</t>
        </is>
      </c>
      <c r="D23" s="18" t="n"/>
      <c r="E23" s="99">
        <f>IF(Band=3,0,1)</f>
        <v>1</v>
      </c>
      <c r="F23" s="100" t="n"/>
      <c r="G23" s="101">
        <f>IF(F23="",E23,F23)</f>
        <v>1</v>
      </c>
      <c r="H23" s="102" t="inlineStr">
        <is>
          <t>About 1 month; none at $1B+, where a focused sprint comes first.</t>
        </is>
      </c>
    </row>
    <row r="24" ht="16" customHeight="1">
      <c r="B24" s="67" t="inlineStr">
        <is>
          <t>Sprint — months</t>
        </is>
      </c>
      <c r="C24" s="98" t="inlineStr">
        <is>
          <t>6–12 weeks</t>
        </is>
      </c>
      <c r="D24" s="18" t="n"/>
      <c r="E24" s="99" t="n">
        <v>3</v>
      </c>
      <c r="F24" s="100" t="n"/>
      <c r="G24" s="101">
        <f>IF(F24="",E24,F24)</f>
        <v>3</v>
      </c>
      <c r="H24" s="102" t="inlineStr">
        <is>
          <t>About 3 months.</t>
        </is>
      </c>
    </row>
    <row r="25" ht="16" customHeight="1">
      <c r="B25" s="67" t="inlineStr">
        <is>
          <t>Build — months</t>
        </is>
      </c>
      <c r="C25" s="98" t="inlineStr">
        <is>
          <t>12–16 weeks</t>
        </is>
      </c>
      <c r="D25" s="18" t="n"/>
      <c r="E25" s="99" t="n">
        <v>4</v>
      </c>
      <c r="F25" s="100" t="n"/>
      <c r="G25" s="101">
        <f>IF(F25="",E25,F25)</f>
        <v>4</v>
      </c>
      <c r="H25" s="102" t="inlineStr">
        <is>
          <t>About 4 months.</t>
        </is>
      </c>
    </row>
    <row r="26" ht="16" customHeight="1">
      <c r="B26" s="67" t="inlineStr">
        <is>
          <t>Value starts in month</t>
        </is>
      </c>
      <c r="C26" s="98" t="inlineStr">
        <is>
          <t>—</t>
        </is>
      </c>
      <c r="D26" s="18" t="n"/>
      <c r="E26" s="99">
        <f>IF(RouteUsed="Ourselves first",6,4)</f>
        <v>4</v>
      </c>
      <c r="F26" s="100" t="n"/>
      <c r="G26" s="101">
        <f>MAX(1,IF(F26="",E26,F26))</f>
        <v>4</v>
      </c>
      <c r="H26" s="102" t="inlineStr">
        <is>
          <t>When quick wins start to show up in the P&amp;L.</t>
        </is>
      </c>
    </row>
    <row r="27" ht="16" customHeight="1">
      <c r="B27" s="67" t="inlineStr">
        <is>
          <t>Months to full run-rate</t>
        </is>
      </c>
      <c r="C27" s="98" t="inlineStr">
        <is>
          <t>—</t>
        </is>
      </c>
      <c r="D27" s="18" t="n"/>
      <c r="E27" s="99" t="n">
        <v>6</v>
      </c>
      <c r="F27" s="100" t="n"/>
      <c r="G27" s="101">
        <f>MAX(1,IF(F27="",E27,F27))</f>
        <v>6</v>
      </c>
      <c r="H27" s="102" t="inlineStr">
        <is>
          <t>From the first value to the full planning prize.</t>
        </is>
      </c>
    </row>
    <row r="28" ht="16" customHeight="1">
      <c r="B28" s="67" t="inlineStr">
        <is>
          <t>Volume-risk haircut (optional)</t>
        </is>
      </c>
      <c r="C28" s="98" t="inlineStr">
        <is>
          <t>—</t>
        </is>
      </c>
      <c r="D28" s="18" t="n"/>
      <c r="E28" s="103" t="n">
        <v>0</v>
      </c>
      <c r="F28" s="74" t="n"/>
      <c r="G28" s="75">
        <f>IF(F28="",0,F28)</f>
        <v>0</v>
      </c>
      <c r="H28" s="102" t="inlineStr">
        <is>
          <t>Shave the value line if you expect some volume loss; the downside scenario halves value on top.</t>
        </is>
      </c>
    </row>
    <row r="29" ht="16" customHeight="1">
      <c r="B29" s="67" t="inlineStr">
        <is>
          <t>Discount rate for NPV (optional)</t>
        </is>
      </c>
      <c r="C29" s="98" t="inlineStr">
        <is>
          <t>—</t>
        </is>
      </c>
      <c r="D29" s="18" t="n"/>
      <c r="E29" s="103" t="n">
        <v>0.1</v>
      </c>
      <c r="F29" s="74" t="n"/>
      <c r="G29" s="75">
        <f>IF(F29="",E29,F29)</f>
        <v>0.1</v>
      </c>
      <c r="H29" s="102" t="inlineStr">
        <is>
          <t>Annual rate; only used for the 24-month NPV on tab 3b.</t>
        </is>
      </c>
    </row>
    <row r="30" ht="16" customHeight="1">
      <c r="B30" s="104" t="inlineStr">
        <is>
          <t>Phase start months</t>
        </is>
      </c>
      <c r="C30" s="105" t="inlineStr">
        <is>
          <t>Diagnostic</t>
        </is>
      </c>
      <c r="D30" s="106">
        <f>1+DurInternalUsed</f>
        <v>1</v>
      </c>
      <c r="E30" s="105" t="inlineStr">
        <is>
          <t>Sprint</t>
        </is>
      </c>
      <c r="F30" s="106">
        <f>PhaseStartDiag+DurDiagUsed</f>
        <v>2</v>
      </c>
      <c r="G30" s="105" t="inlineStr">
        <is>
          <t>Build</t>
        </is>
      </c>
      <c r="H30" s="106">
        <f>PhaseStartSprint+DurSprintUsed</f>
        <v>5</v>
      </c>
    </row>
    <row r="31" ht="16" customHeight="1">
      <c r="B31" s="104" t="inlineStr">
        <is>
          <t>Adoption &amp; sustain</t>
        </is>
      </c>
      <c r="C31" s="105" t="inlineStr">
        <is>
          <t>Sustain from</t>
        </is>
      </c>
      <c r="D31" s="106">
        <f>PhaseStartBuild+DurBuildUsed</f>
        <v>9</v>
      </c>
      <c r="E31" s="105" t="inlineStr">
        <is>
          <t>Adoption through</t>
        </is>
      </c>
      <c r="F31" s="106">
        <f>PhaseStartBuild+AdoptWindow-1</f>
        <v>10</v>
      </c>
      <c r="G31" s="105" t="inlineStr">
        <is>
          <t>Adoption window</t>
        </is>
      </c>
      <c r="H31" s="107">
        <f>DurBuildUsed+2</f>
        <v>6</v>
      </c>
    </row>
    <row r="32" ht="4" customHeight="1"/>
    <row r="33" ht="17" customHeight="1">
      <c r="B33" s="6" t="inlineStr">
        <is>
          <t>GATES · what must be true before the next check clears · these print in Canvas block 4</t>
        </is>
      </c>
      <c r="C33" s="7" t="n"/>
      <c r="D33" s="7" t="n"/>
      <c r="E33" s="7" t="n"/>
      <c r="F33" s="7" t="n"/>
      <c r="G33" s="7" t="n"/>
      <c r="H33" s="7" t="n"/>
    </row>
    <row r="34" ht="16" customHeight="1">
      <c r="B34" s="17" t="inlineStr">
        <is>
          <t>Phase</t>
        </is>
      </c>
      <c r="C34" s="17" t="inlineStr">
        <is>
          <t>Suggested</t>
        </is>
      </c>
      <c r="D34" s="17" t="inlineStr">
        <is>
          <t>Yours</t>
        </is>
      </c>
      <c r="E34" s="17" t="inlineStr">
        <is>
          <t>Used</t>
        </is>
      </c>
      <c r="F34" s="17" t="inlineStr">
        <is>
          <t>Gate sentence</t>
        </is>
      </c>
      <c r="G34" s="7" t="n"/>
      <c r="H34" s="7" t="n"/>
    </row>
    <row r="35" ht="20" customHeight="1">
      <c r="B35" s="67" t="inlineStr">
        <is>
          <t>Diagnostic</t>
        </is>
      </c>
      <c r="C35" s="103" t="n">
        <v>0.6</v>
      </c>
      <c r="D35" s="74" t="n"/>
      <c r="E35" s="75">
        <f>IF(D35="",C35,D35)</f>
        <v>0.6</v>
      </c>
      <c r="F35" s="108" t="str">
        <f>IF(Revenue="","≥ "&amp;TEXT(GateDiagUsed,"0%")&amp;" of the planning prize confirmed in our transaction data","≥ "&amp;TEXT(GateDiagUsed,"0%")&amp;" of the "&amp;IF(ABS((PrizeUsed))&gt;=1000000,TEXT((PrizeUsed)/1000000,"$0.0")&amp;"M",TEXT((PrizeUsed)/1000,"$#,##0")&amp;"K")&amp;" prize confirmed in our transaction data")</f>
        <v>≥ 60% of the planning prize confirmed in our transaction data</v>
      </c>
      <c r="G35" s="18" t="n"/>
      <c r="H35" s="18" t="n"/>
    </row>
    <row r="36" ht="20" customHeight="1">
      <c r="B36" s="67" t="inlineStr">
        <is>
          <t>Sprint</t>
        </is>
      </c>
      <c r="C36" s="103" t="n">
        <v>0.25</v>
      </c>
      <c r="D36" s="74" t="n"/>
      <c r="E36" s="75">
        <f>IF(D36="",C36,D36)</f>
        <v>0.25</v>
      </c>
      <c r="F36" s="108" t="str">
        <f>"pilot lift, annualized, ≥ "&amp;TEXT(GateSprintUsed,"0%")&amp;" of the prize run-rate, measured vs. control"</f>
        <v>pilot lift, annualized, ≥ 25% of the prize run-rate, measured vs. control</v>
      </c>
      <c r="G36" s="18" t="n"/>
      <c r="H36" s="18" t="n"/>
    </row>
    <row r="37" ht="20" customHeight="1">
      <c r="B37" s="67" t="inlineStr">
        <is>
          <t>Build</t>
        </is>
      </c>
      <c r="C37" s="103">
        <f>AdoptTarget</f>
        <v>0.8</v>
      </c>
      <c r="D37" s="74" t="n"/>
      <c r="E37" s="75">
        <f>IF(D37="",C37,D37)</f>
        <v>0.8</v>
      </c>
      <c r="F37" s="108" t="str">
        <f>"≥ "&amp;TEXT(GateBuildUsed,"0%")&amp;" of quotes through the new playbooks by month "&amp;(SustainStartMonth+2)</f>
        <v>≥ 80% of quotes through the new playbooks by month 11</v>
      </c>
      <c r="G37" s="18" t="n"/>
      <c r="H37" s="18" t="n"/>
    </row>
    <row r="38" ht="30" customHeight="1">
      <c r="B38" s="104" t="inlineStr">
        <is>
          <t>→ Canvas block 4 reads</t>
        </is>
      </c>
      <c r="D38" s="109" t="str">
        <f>IF(Revenue="","Gates: set the thresholds above; they print in Canvas block 4.","Gates — "&amp;IF(DurInternalUsed&gt;0,"internal pass: a prize number Finance will sign; ","")&amp;IF(N(PlanDiag)&gt;0,"diagnostic: "&amp;GateDiagText&amp;"; ","")&amp;"sprint: "&amp;GateSprintText&amp;IF(N(PlanBuild)&gt;0,"; build: "&amp;GateBuildText,"")&amp;".")</f>
        <v>Gates: set the thresholds above; they print in Canvas block 4.</v>
      </c>
    </row>
    <row r="39" ht="4" customHeight="1"/>
    <row r="40" ht="16" customHeight="1">
      <c r="B40" s="16" t="inlineStr">
        <is>
          <t>Each phase is a stage gate: value proven before the next check clears, with an exit right at every gate. Phase fees: Revology Analytics / Revify 2025–26 engagement benchmarks, rounded. Revify's diagnostic fees are public at myrevify.com.</t>
        </is>
      </c>
    </row>
    <row r="46">
      <c r="B46" s="85" t="inlineStr">
        <is>
          <t>Mirrors for formatting: size band · route</t>
        </is>
      </c>
      <c r="C46" s="110" t="str">
        <f>Band</f>
        <v/>
      </c>
      <c r="D46" s="111" t="str">
        <f>RouteUsed</f>
        <v>With a partner</v>
      </c>
    </row>
    <row r="47">
      <c r="B47" s="85" t="inlineStr">
        <is>
          <t>Outside spend (helper)</t>
        </is>
      </c>
      <c r="C47" s="112" t="str">
        <f>IF(Revenue="","",LadderTotal-PlanInternal-PlanTeam)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9">
    <mergeCell ref="C24:D24"/>
    <mergeCell ref="F36:H36"/>
    <mergeCell ref="B40:H40"/>
    <mergeCell ref="C6:G6"/>
    <mergeCell ref="F35:H35"/>
    <mergeCell ref="B33:H33"/>
    <mergeCell ref="C26:D26"/>
    <mergeCell ref="B20:H20"/>
    <mergeCell ref="C29:D29"/>
    <mergeCell ref="C10:D10"/>
    <mergeCell ref="C16:D16"/>
    <mergeCell ref="C25:D25"/>
    <mergeCell ref="C22:D22"/>
    <mergeCell ref="C9:D9"/>
    <mergeCell ref="F37:H37"/>
    <mergeCell ref="C12:D12"/>
    <mergeCell ref="B38:C38"/>
    <mergeCell ref="C21:D21"/>
    <mergeCell ref="C11:D11"/>
    <mergeCell ref="C27:D27"/>
    <mergeCell ref="B2:H2"/>
    <mergeCell ref="C17:D17"/>
    <mergeCell ref="C23:D23"/>
    <mergeCell ref="F34:H34"/>
    <mergeCell ref="B8:H8"/>
    <mergeCell ref="B1:H1"/>
    <mergeCell ref="C28:D28"/>
    <mergeCell ref="D38:H38"/>
    <mergeCell ref="C13:D13"/>
  </mergeCells>
  <conditionalFormatting sqref="F10">
    <cfRule type="expression" priority="1" dxfId="2" stopIfTrue="0">
      <formula>$D$46&lt;&gt;"Ourselves first"</formula>
    </cfRule>
  </conditionalFormatting>
  <conditionalFormatting sqref="B10:E10">
    <cfRule type="expression" priority="2" dxfId="1" stopIfTrue="0">
      <formula>$D$46&lt;&gt;"Ourselves first"</formula>
    </cfRule>
  </conditionalFormatting>
  <conditionalFormatting sqref="F11">
    <cfRule type="expression" priority="3" dxfId="2" stopIfTrue="0">
      <formula>$C$46=3</formula>
    </cfRule>
  </conditionalFormatting>
  <conditionalFormatting sqref="F13">
    <cfRule type="expression" priority="4" dxfId="2" stopIfTrue="0">
      <formula>$C$46=1</formula>
    </cfRule>
  </conditionalFormatting>
  <conditionalFormatting sqref="F14">
    <cfRule type="expression" priority="5" dxfId="2" stopIfTrue="0">
      <formula>$C$46=1</formula>
    </cfRule>
  </conditionalFormatting>
  <conditionalFormatting sqref="F22">
    <cfRule type="expression" priority="6" dxfId="2" stopIfTrue="0">
      <formula>$D$46&lt;&gt;"Ourselves first"</formula>
    </cfRule>
  </conditionalFormatting>
  <conditionalFormatting sqref="F23">
    <cfRule type="expression" priority="7" dxfId="2" stopIfTrue="0">
      <formula>$C$46=3</formula>
    </cfRule>
  </conditionalFormatting>
  <conditionalFormatting sqref="B35:H35">
    <cfRule type="expression" priority="8" dxfId="1" stopIfTrue="0">
      <formula>$C$46=3</formula>
    </cfRule>
  </conditionalFormatting>
  <dataValidations count="22">
    <dataValidation sqref="F10" showDropDown="0" showInputMessage="0" showErrorMessage="1" allowBlank="1" errorTitle="RGM Initiative Playbook" error="Enter an amount in dollars (0 or more)." type="decimal" errorStyle="stop" operator="greaterThanOrEqual">
      <formula1>0</formula1>
    </dataValidation>
    <dataValidation sqref="F11" showDropDown="0" showInputMessage="0" showErrorMessage="1" allowBlank="1" errorTitle="RGM Initiative Playbook" error="Enter an amount in dollars (0 or more)." type="decimal" errorStyle="stop" operator="greaterThanOrEqual">
      <formula1>0</formula1>
    </dataValidation>
    <dataValidation sqref="F12" showDropDown="0" showInputMessage="0" showErrorMessage="1" allowBlank="1" errorTitle="RGM Initiative Playbook" error="Enter an amount in dollars (0 or more)." type="decimal" errorStyle="stop" operator="greaterThanOrEqual">
      <formula1>0</formula1>
    </dataValidation>
    <dataValidation sqref="F13" showDropDown="0" showInputMessage="0" showErrorMessage="1" allowBlank="1" errorTitle="RGM Initiative Playbook" error="Enter an amount in dollars (0 or more)." type="decimal" errorStyle="stop" operator="greaterThanOrEqual">
      <formula1>0</formula1>
    </dataValidation>
    <dataValidation sqref="C14" showDropDown="0" showInputMessage="0" showErrorMessage="1" allowBlank="1" errorTitle="RGM Initiative Playbook" error="Enter a multiple of the build fee between 0 and 3, e.g. 1.0." type="decimal" errorStyle="stop" operator="between">
      <formula1>0</formula1>
      <formula2>3</formula2>
    </dataValidation>
    <dataValidation sqref="F14" showDropDown="0" showInputMessage="0" showErrorMessage="1" allowBlank="1" errorTitle="RGM Initiative Playbook" error="Enter an amount in dollars (0 or more)." type="decimal" errorStyle="stop" operator="greaterThanOrEqual">
      <formula1>0</formula1>
    </dataValidation>
    <dataValidation sqref="C15" showDropDown="0" showInputMessage="0" showErrorMessage="1" allowBlank="1" errorTitle="RGM Initiative Playbook" error="Enter hours (0 or more)." type="decimal" errorStyle="stop" operator="greaterThanOrEqual">
      <formula1>0</formula1>
    </dataValidation>
    <dataValidation sqref="D15" showDropDown="0" showInputMessage="0" showErrorMessage="1" allowBlank="1" errorTitle="RGM Initiative Playbook" error="Enter a loaded hourly rate (0 or more)." type="decimal" errorStyle="stop" operator="greaterThanOrEqual">
      <formula1>0</formula1>
    </dataValidation>
    <dataValidation sqref="F15" showDropDown="0" showInputMessage="0" showErrorMessage="1" allowBlank="1" errorTitle="RGM Initiative Playbook" error="Enter an amount in dollars (0 or more)." type="decimal" errorStyle="stop" operator="greaterThanOrEqual">
      <formula1>0</formula1>
    </dataValidation>
    <dataValidation sqref="F16" showDropDown="0" showInputMessage="0" showErrorMessage="1" allowBlank="1" errorTitle="RGM Initiative Playbook" error="Enter an amount in dollars (0 or more)." type="decimal" errorStyle="stop" operator="greaterThanOrEqual">
      <formula1>0</formula1>
    </dataValidation>
    <dataValidation sqref="F17" showDropDown="0" showInputMessage="0" showErrorMessage="1" allowBlank="1" errorTitle="RGM Initiative Playbook" error="Enter an amount in dollars (0 or more)." type="decimal" errorStyle="stop" operator="greaterThanOrEqual">
      <formula1>0</formula1>
    </dataValidation>
    <dataValidation sqref="F22" showDropDown="0" showInputMessage="0" showErrorMessage="1" allowBlank="1" errorTitle="RGM Initiative Playbook" error="Enter a whole number from 0 to 12." type="whole" errorStyle="stop" operator="between">
      <formula1>0</formula1>
      <formula2>12</formula2>
    </dataValidation>
    <dataValidation sqref="F23" showDropDown="0" showInputMessage="0" showErrorMessage="1" allowBlank="1" errorTitle="RGM Initiative Playbook" error="Enter a whole number from 0 to 12." type="whole" errorStyle="stop" operator="between">
      <formula1>0</formula1>
      <formula2>12</formula2>
    </dataValidation>
    <dataValidation sqref="F24" showDropDown="0" showInputMessage="0" showErrorMessage="1" allowBlank="1" errorTitle="RGM Initiative Playbook" error="Enter a whole number from 0 to 12." type="whole" errorStyle="stop" operator="between">
      <formula1>0</formula1>
      <formula2>12</formula2>
    </dataValidation>
    <dataValidation sqref="F25" showDropDown="0" showInputMessage="0" showErrorMessage="1" allowBlank="1" errorTitle="RGM Initiative Playbook" error="Enter a whole number from 0 to 12." type="whole" errorStyle="stop" operator="between">
      <formula1>0</formula1>
      <formula2>12</formula2>
    </dataValidation>
    <dataValidation sqref="F26" showDropDown="0" showInputMessage="0" showErrorMessage="1" allowBlank="1" errorTitle="RGM Initiative Playbook" error="Enter a whole number from 1 to 24." type="whole" errorStyle="stop" operator="between">
      <formula1>1</formula1>
      <formula2>24</formula2>
    </dataValidation>
    <dataValidation sqref="F27" showDropDown="0" showInputMessage="0" showErrorMessage="1" allowBlank="1" errorTitle="RGM Initiative Playbook" error="Enter a whole number from 1 to 24." type="whole" errorStyle="stop" operator="between">
      <formula1>1</formula1>
      <formula2>24</formula2>
    </dataValidation>
    <dataValidation sqref="F28" showDropDown="0" showInputMessage="0" showErrorMessage="1" allowBlank="1" errorTitle="RGM Initiative Playbook" error="Enter a haircut between 0% and 50%." type="decimal" errorStyle="stop" operator="between">
      <formula1>0</formula1>
      <formula2>0.5</formula2>
    </dataValidation>
    <dataValidation sqref="F29" showDropDown="0" showInputMessage="0" showErrorMessage="1" allowBlank="1" errorTitle="RGM Initiative Playbook" error="Enter an annual rate between 0% and 50%." type="decimal" errorStyle="stop" operator="between">
      <formula1>0</formula1>
      <formula2>0.5</formula2>
    </dataValidation>
    <dataValidation sqref="D35" showDropDown="0" showInputMessage="0" showErrorMessage="1" allowBlank="1" errorTitle="RGM Initiative Playbook" error="Enter a threshold between 0% and 100%." type="decimal" errorStyle="stop" operator="between">
      <formula1>0</formula1>
      <formula2>1</formula2>
    </dataValidation>
    <dataValidation sqref="D36" showDropDown="0" showInputMessage="0" showErrorMessage="1" allowBlank="1" errorTitle="RGM Initiative Playbook" error="Enter a threshold between 0% and 100%." type="decimal" errorStyle="stop" operator="between">
      <formula1>0</formula1>
      <formula2>1</formula2>
    </dataValidation>
    <dataValidation sqref="D37" showDropDown="0" showInputMessage="0" showErrorMessage="1" allowBlank="1" errorTitle="RGM Initiative Playbook" error="Enter a threshold between 0% and 100%." type="decimal" errorStyle="stop" operator="between">
      <formula1>0</formula1>
      <formula2>1</formula2>
    </dataValidation>
  </dataValidations>
  <hyperlinks>
    <hyperlink ref="B4" location="'Start Here'!A1" display="← Start Here"/>
    <hyperlink ref="C4" location="'2 Pick Levers'!A1" display="← Previous"/>
    <hyperlink ref="D4" location="'3b Payback'!A1" display="Next →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DB73E"/>
    <outlinePr summaryBelow="1" summaryRight="1"/>
    <pageSetUpPr fitToPage="1"/>
  </sheetPr>
  <dimension ref="A1:O104"/>
  <sheetViews>
    <sheetView showGridLines="0" zoomScale="100" zoomScaleNormal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4" customWidth="1" min="1" max="1"/>
    <col width="29" customWidth="1" min="2" max="2"/>
    <col width="10.6" customWidth="1" min="3" max="3"/>
    <col width="10.6" customWidth="1" min="4" max="4"/>
    <col width="10.6" customWidth="1" min="5" max="5"/>
    <col width="10.6" customWidth="1" min="6" max="6"/>
    <col width="10.6" customWidth="1" min="7" max="7"/>
    <col width="10.6" customWidth="1" min="8" max="8"/>
    <col width="10.6" customWidth="1" min="9" max="9"/>
    <col width="10.6" customWidth="1" min="10" max="10"/>
    <col width="10.6" customWidth="1" min="11" max="11"/>
    <col width="10.6" customWidth="1" min="12" max="12"/>
    <col width="10.6" customWidth="1" min="13" max="13"/>
    <col width="10.6" customWidth="1" min="14" max="14"/>
    <col width="2.4" customWidth="1" min="15" max="15"/>
  </cols>
  <sheetData>
    <row r="1" ht="30" customHeight="1">
      <c r="A1" s="1" t="n"/>
      <c r="B1" s="2" t="inlineStr">
        <is>
          <t>Step 3b — Payback on a Monthly Ramp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20" customHeight="1">
      <c r="A2" s="1" t="n"/>
      <c r="B2" s="3" t="inlineStr">
        <is>
          <t>Answers “How certain?” — spend, value captured and cumulative net by month; payback, scenarios and a 24-month NPV. Everything here is computed from tabs 1–3.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4" ht="16" customHeight="1">
      <c r="B4" s="5" t="inlineStr">
        <is>
          <t>← Start Here</t>
        </is>
      </c>
      <c r="C4" s="5" t="inlineStr">
        <is>
          <t>← Previous</t>
        </is>
      </c>
      <c r="D4" s="5" t="inlineStr">
        <is>
          <t>Next →</t>
        </is>
      </c>
    </row>
    <row r="5" ht="4" customHeight="1"/>
    <row r="6" ht="17" customHeight="1">
      <c r="B6" s="6" t="inlineStr">
        <is>
          <t>24-MONTH VIEW · spend, value captured and cumulative net, by month</t>
        </is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</row>
    <row r="7" hidden="1" ht="14" customHeight="1">
      <c r="B7" s="113" t="inlineStr">
        <is>
          <t>Month number (helper)</t>
        </is>
      </c>
      <c r="C7" s="110" t="n">
        <v>1</v>
      </c>
      <c r="D7" s="110" t="n">
        <v>2</v>
      </c>
      <c r="E7" s="110" t="n">
        <v>3</v>
      </c>
      <c r="F7" s="110" t="n">
        <v>4</v>
      </c>
      <c r="G7" s="110" t="n">
        <v>5</v>
      </c>
      <c r="H7" s="110" t="n">
        <v>6</v>
      </c>
      <c r="I7" s="110" t="n">
        <v>7</v>
      </c>
      <c r="J7" s="110" t="n">
        <v>8</v>
      </c>
      <c r="K7" s="110" t="n">
        <v>9</v>
      </c>
      <c r="L7" s="110" t="n">
        <v>10</v>
      </c>
      <c r="M7" s="110" t="n">
        <v>11</v>
      </c>
      <c r="N7" s="110" t="n">
        <v>12</v>
      </c>
    </row>
    <row r="8" ht="17" customHeight="1">
      <c r="B8" s="17" t="inlineStr">
        <is>
          <t>Month</t>
        </is>
      </c>
      <c r="C8" s="114" t="str">
        <f>C$7&amp;" · "&amp;TEXT(EDATE(DATE(StartYearUsed,StartMonthUsed,1),C$7-1),"mmm yy")</f>
        <v>1 · Jan 27</v>
      </c>
      <c r="D8" s="114" t="str">
        <f>D$7&amp;" · "&amp;TEXT(EDATE(DATE(StartYearUsed,StartMonthUsed,1),D$7-1),"mmm yy")</f>
        <v>2 · Feb 27</v>
      </c>
      <c r="E8" s="114" t="str">
        <f>E$7&amp;" · "&amp;TEXT(EDATE(DATE(StartYearUsed,StartMonthUsed,1),E$7-1),"mmm yy")</f>
        <v>3 · Mar 27</v>
      </c>
      <c r="F8" s="114" t="str">
        <f>F$7&amp;" · "&amp;TEXT(EDATE(DATE(StartYearUsed,StartMonthUsed,1),F$7-1),"mmm yy")</f>
        <v>4 · Apr 27</v>
      </c>
      <c r="G8" s="114" t="str">
        <f>G$7&amp;" · "&amp;TEXT(EDATE(DATE(StartYearUsed,StartMonthUsed,1),G$7-1),"mmm yy")</f>
        <v>5 · May 27</v>
      </c>
      <c r="H8" s="114" t="str">
        <f>H$7&amp;" · "&amp;TEXT(EDATE(DATE(StartYearUsed,StartMonthUsed,1),H$7-1),"mmm yy")</f>
        <v>6 · Jun 27</v>
      </c>
      <c r="I8" s="114" t="str">
        <f>I$7&amp;" · "&amp;TEXT(EDATE(DATE(StartYearUsed,StartMonthUsed,1),I$7-1),"mmm yy")</f>
        <v>7 · Jul 27</v>
      </c>
      <c r="J8" s="114" t="str">
        <f>J$7&amp;" · "&amp;TEXT(EDATE(DATE(StartYearUsed,StartMonthUsed,1),J$7-1),"mmm yy")</f>
        <v>8 · Aug 27</v>
      </c>
      <c r="K8" s="114" t="str">
        <f>K$7&amp;" · "&amp;TEXT(EDATE(DATE(StartYearUsed,StartMonthUsed,1),K$7-1),"mmm yy")</f>
        <v>9 · Sep 27</v>
      </c>
      <c r="L8" s="114" t="str">
        <f>L$7&amp;" · "&amp;TEXT(EDATE(DATE(StartYearUsed,StartMonthUsed,1),L$7-1),"mmm yy")</f>
        <v>10 · Oct 27</v>
      </c>
      <c r="M8" s="114" t="str">
        <f>M$7&amp;" · "&amp;TEXT(EDATE(DATE(StartYearUsed,StartMonthUsed,1),M$7-1),"mmm yy")</f>
        <v>11 · Nov 27</v>
      </c>
      <c r="N8" s="114" t="str">
        <f>N$7&amp;" · "&amp;TEXT(EDATE(DATE(StartYearUsed,StartMonthUsed,1),N$7-1),"mmm yy")</f>
        <v>12 · Dec 27</v>
      </c>
    </row>
    <row r="9" ht="15" customHeight="1">
      <c r="B9" s="20" t="inlineStr">
        <is>
          <t>Spend (ladder + sustain)</t>
        </is>
      </c>
      <c r="C9" s="115" t="str">
        <f>IF(Revenue="","",IF(AND(DurInternalUsed&gt;0,C$7&gt;=1,C$7&lt;PhaseStartDiag),PlanInternal/DurInternalUsed,0)+IF(AND(DurDiagUsed&gt;0,C$7&gt;=PhaseStartDiag,C$7&lt;PhaseStartSprint),PlanDiag/DurDiagUsed,0)+IF(AND(DurSprintUsed&gt;0,C$7&gt;=PhaseStartSprint,C$7&lt;PhaseStartBuild),PlanSprint/DurSprintUsed,0)+IF(AND(DurBuildUsed&gt;0,C$7&gt;=PhaseStartBuild,C$7&lt;SustainStartMonth),PlanBuild/DurBuildUsed,0)+IF(C$7&gt;=SustainStartMonth,PlanSustain,0)+IF(C$7=PhaseStartDiag,PlanOther,0)+IF(AND(C$7&gt;=PhaseStartBuild,C$7&lt;PhaseStartBuild+AdoptWindow),PlanAdopt/AdoptWindow,0)+IF(AND(SustainStartMonth&gt;1,C$7&lt;SustainStartMonth),PlanTeam/(SustainStartMonth-1),0))</f>
        <v/>
      </c>
      <c r="D9" s="115" t="str">
        <f>IF(Revenue="","",IF(AND(DurInternalUsed&gt;0,D$7&gt;=1,D$7&lt;PhaseStartDiag),PlanInternal/DurInternalUsed,0)+IF(AND(DurDiagUsed&gt;0,D$7&gt;=PhaseStartDiag,D$7&lt;PhaseStartSprint),PlanDiag/DurDiagUsed,0)+IF(AND(DurSprintUsed&gt;0,D$7&gt;=PhaseStartSprint,D$7&lt;PhaseStartBuild),PlanSprint/DurSprintUsed,0)+IF(AND(DurBuildUsed&gt;0,D$7&gt;=PhaseStartBuild,D$7&lt;SustainStartMonth),PlanBuild/DurBuildUsed,0)+IF(D$7&gt;=SustainStartMonth,PlanSustain,0)+IF(D$7=PhaseStartDiag,PlanOther,0)+IF(AND(D$7&gt;=PhaseStartBuild,D$7&lt;PhaseStartBuild+AdoptWindow),PlanAdopt/AdoptWindow,0)+IF(AND(SustainStartMonth&gt;1,D$7&lt;SustainStartMonth),PlanTeam/(SustainStartMonth-1),0))</f>
        <v/>
      </c>
      <c r="E9" s="115" t="str">
        <f>IF(Revenue="","",IF(AND(DurInternalUsed&gt;0,E$7&gt;=1,E$7&lt;PhaseStartDiag),PlanInternal/DurInternalUsed,0)+IF(AND(DurDiagUsed&gt;0,E$7&gt;=PhaseStartDiag,E$7&lt;PhaseStartSprint),PlanDiag/DurDiagUsed,0)+IF(AND(DurSprintUsed&gt;0,E$7&gt;=PhaseStartSprint,E$7&lt;PhaseStartBuild),PlanSprint/DurSprintUsed,0)+IF(AND(DurBuildUsed&gt;0,E$7&gt;=PhaseStartBuild,E$7&lt;SustainStartMonth),PlanBuild/DurBuildUsed,0)+IF(E$7&gt;=SustainStartMonth,PlanSustain,0)+IF(E$7=PhaseStartDiag,PlanOther,0)+IF(AND(E$7&gt;=PhaseStartBuild,E$7&lt;PhaseStartBuild+AdoptWindow),PlanAdopt/AdoptWindow,0)+IF(AND(SustainStartMonth&gt;1,E$7&lt;SustainStartMonth),PlanTeam/(SustainStartMonth-1),0))</f>
        <v/>
      </c>
      <c r="F9" s="115" t="str">
        <f>IF(Revenue="","",IF(AND(DurInternalUsed&gt;0,F$7&gt;=1,F$7&lt;PhaseStartDiag),PlanInternal/DurInternalUsed,0)+IF(AND(DurDiagUsed&gt;0,F$7&gt;=PhaseStartDiag,F$7&lt;PhaseStartSprint),PlanDiag/DurDiagUsed,0)+IF(AND(DurSprintUsed&gt;0,F$7&gt;=PhaseStartSprint,F$7&lt;PhaseStartBuild),PlanSprint/DurSprintUsed,0)+IF(AND(DurBuildUsed&gt;0,F$7&gt;=PhaseStartBuild,F$7&lt;SustainStartMonth),PlanBuild/DurBuildUsed,0)+IF(F$7&gt;=SustainStartMonth,PlanSustain,0)+IF(F$7=PhaseStartDiag,PlanOther,0)+IF(AND(F$7&gt;=PhaseStartBuild,F$7&lt;PhaseStartBuild+AdoptWindow),PlanAdopt/AdoptWindow,0)+IF(AND(SustainStartMonth&gt;1,F$7&lt;SustainStartMonth),PlanTeam/(SustainStartMonth-1),0))</f>
        <v/>
      </c>
      <c r="G9" s="115" t="str">
        <f>IF(Revenue="","",IF(AND(DurInternalUsed&gt;0,G$7&gt;=1,G$7&lt;PhaseStartDiag),PlanInternal/DurInternalUsed,0)+IF(AND(DurDiagUsed&gt;0,G$7&gt;=PhaseStartDiag,G$7&lt;PhaseStartSprint),PlanDiag/DurDiagUsed,0)+IF(AND(DurSprintUsed&gt;0,G$7&gt;=PhaseStartSprint,G$7&lt;PhaseStartBuild),PlanSprint/DurSprintUsed,0)+IF(AND(DurBuildUsed&gt;0,G$7&gt;=PhaseStartBuild,G$7&lt;SustainStartMonth),PlanBuild/DurBuildUsed,0)+IF(G$7&gt;=SustainStartMonth,PlanSustain,0)+IF(G$7=PhaseStartDiag,PlanOther,0)+IF(AND(G$7&gt;=PhaseStartBuild,G$7&lt;PhaseStartBuild+AdoptWindow),PlanAdopt/AdoptWindow,0)+IF(AND(SustainStartMonth&gt;1,G$7&lt;SustainStartMonth),PlanTeam/(SustainStartMonth-1),0))</f>
        <v/>
      </c>
      <c r="H9" s="115" t="str">
        <f>IF(Revenue="","",IF(AND(DurInternalUsed&gt;0,H$7&gt;=1,H$7&lt;PhaseStartDiag),PlanInternal/DurInternalUsed,0)+IF(AND(DurDiagUsed&gt;0,H$7&gt;=PhaseStartDiag,H$7&lt;PhaseStartSprint),PlanDiag/DurDiagUsed,0)+IF(AND(DurSprintUsed&gt;0,H$7&gt;=PhaseStartSprint,H$7&lt;PhaseStartBuild),PlanSprint/DurSprintUsed,0)+IF(AND(DurBuildUsed&gt;0,H$7&gt;=PhaseStartBuild,H$7&lt;SustainStartMonth),PlanBuild/DurBuildUsed,0)+IF(H$7&gt;=SustainStartMonth,PlanSustain,0)+IF(H$7=PhaseStartDiag,PlanOther,0)+IF(AND(H$7&gt;=PhaseStartBuild,H$7&lt;PhaseStartBuild+AdoptWindow),PlanAdopt/AdoptWindow,0)+IF(AND(SustainStartMonth&gt;1,H$7&lt;SustainStartMonth),PlanTeam/(SustainStartMonth-1),0))</f>
        <v/>
      </c>
      <c r="I9" s="115" t="str">
        <f>IF(Revenue="","",IF(AND(DurInternalUsed&gt;0,I$7&gt;=1,I$7&lt;PhaseStartDiag),PlanInternal/DurInternalUsed,0)+IF(AND(DurDiagUsed&gt;0,I$7&gt;=PhaseStartDiag,I$7&lt;PhaseStartSprint),PlanDiag/DurDiagUsed,0)+IF(AND(DurSprintUsed&gt;0,I$7&gt;=PhaseStartSprint,I$7&lt;PhaseStartBuild),PlanSprint/DurSprintUsed,0)+IF(AND(DurBuildUsed&gt;0,I$7&gt;=PhaseStartBuild,I$7&lt;SustainStartMonth),PlanBuild/DurBuildUsed,0)+IF(I$7&gt;=SustainStartMonth,PlanSustain,0)+IF(I$7=PhaseStartDiag,PlanOther,0)+IF(AND(I$7&gt;=PhaseStartBuild,I$7&lt;PhaseStartBuild+AdoptWindow),PlanAdopt/AdoptWindow,0)+IF(AND(SustainStartMonth&gt;1,I$7&lt;SustainStartMonth),PlanTeam/(SustainStartMonth-1),0))</f>
        <v/>
      </c>
      <c r="J9" s="115" t="str">
        <f>IF(Revenue="","",IF(AND(DurInternalUsed&gt;0,J$7&gt;=1,J$7&lt;PhaseStartDiag),PlanInternal/DurInternalUsed,0)+IF(AND(DurDiagUsed&gt;0,J$7&gt;=PhaseStartDiag,J$7&lt;PhaseStartSprint),PlanDiag/DurDiagUsed,0)+IF(AND(DurSprintUsed&gt;0,J$7&gt;=PhaseStartSprint,J$7&lt;PhaseStartBuild),PlanSprint/DurSprintUsed,0)+IF(AND(DurBuildUsed&gt;0,J$7&gt;=PhaseStartBuild,J$7&lt;SustainStartMonth),PlanBuild/DurBuildUsed,0)+IF(J$7&gt;=SustainStartMonth,PlanSustain,0)+IF(J$7=PhaseStartDiag,PlanOther,0)+IF(AND(J$7&gt;=PhaseStartBuild,J$7&lt;PhaseStartBuild+AdoptWindow),PlanAdopt/AdoptWindow,0)+IF(AND(SustainStartMonth&gt;1,J$7&lt;SustainStartMonth),PlanTeam/(SustainStartMonth-1),0))</f>
        <v/>
      </c>
      <c r="K9" s="115" t="str">
        <f>IF(Revenue="","",IF(AND(DurInternalUsed&gt;0,K$7&gt;=1,K$7&lt;PhaseStartDiag),PlanInternal/DurInternalUsed,0)+IF(AND(DurDiagUsed&gt;0,K$7&gt;=PhaseStartDiag,K$7&lt;PhaseStartSprint),PlanDiag/DurDiagUsed,0)+IF(AND(DurSprintUsed&gt;0,K$7&gt;=PhaseStartSprint,K$7&lt;PhaseStartBuild),PlanSprint/DurSprintUsed,0)+IF(AND(DurBuildUsed&gt;0,K$7&gt;=PhaseStartBuild,K$7&lt;SustainStartMonth),PlanBuild/DurBuildUsed,0)+IF(K$7&gt;=SustainStartMonth,PlanSustain,0)+IF(K$7=PhaseStartDiag,PlanOther,0)+IF(AND(K$7&gt;=PhaseStartBuild,K$7&lt;PhaseStartBuild+AdoptWindow),PlanAdopt/AdoptWindow,0)+IF(AND(SustainStartMonth&gt;1,K$7&lt;SustainStartMonth),PlanTeam/(SustainStartMonth-1),0))</f>
        <v/>
      </c>
      <c r="L9" s="115" t="str">
        <f>IF(Revenue="","",IF(AND(DurInternalUsed&gt;0,L$7&gt;=1,L$7&lt;PhaseStartDiag),PlanInternal/DurInternalUsed,0)+IF(AND(DurDiagUsed&gt;0,L$7&gt;=PhaseStartDiag,L$7&lt;PhaseStartSprint),PlanDiag/DurDiagUsed,0)+IF(AND(DurSprintUsed&gt;0,L$7&gt;=PhaseStartSprint,L$7&lt;PhaseStartBuild),PlanSprint/DurSprintUsed,0)+IF(AND(DurBuildUsed&gt;0,L$7&gt;=PhaseStartBuild,L$7&lt;SustainStartMonth),PlanBuild/DurBuildUsed,0)+IF(L$7&gt;=SustainStartMonth,PlanSustain,0)+IF(L$7=PhaseStartDiag,PlanOther,0)+IF(AND(L$7&gt;=PhaseStartBuild,L$7&lt;PhaseStartBuild+AdoptWindow),PlanAdopt/AdoptWindow,0)+IF(AND(SustainStartMonth&gt;1,L$7&lt;SustainStartMonth),PlanTeam/(SustainStartMonth-1),0))</f>
        <v/>
      </c>
      <c r="M9" s="115" t="str">
        <f>IF(Revenue="","",IF(AND(DurInternalUsed&gt;0,M$7&gt;=1,M$7&lt;PhaseStartDiag),PlanInternal/DurInternalUsed,0)+IF(AND(DurDiagUsed&gt;0,M$7&gt;=PhaseStartDiag,M$7&lt;PhaseStartSprint),PlanDiag/DurDiagUsed,0)+IF(AND(DurSprintUsed&gt;0,M$7&gt;=PhaseStartSprint,M$7&lt;PhaseStartBuild),PlanSprint/DurSprintUsed,0)+IF(AND(DurBuildUsed&gt;0,M$7&gt;=PhaseStartBuild,M$7&lt;SustainStartMonth),PlanBuild/DurBuildUsed,0)+IF(M$7&gt;=SustainStartMonth,PlanSustain,0)+IF(M$7=PhaseStartDiag,PlanOther,0)+IF(AND(M$7&gt;=PhaseStartBuild,M$7&lt;PhaseStartBuild+AdoptWindow),PlanAdopt/AdoptWindow,0)+IF(AND(SustainStartMonth&gt;1,M$7&lt;SustainStartMonth),PlanTeam/(SustainStartMonth-1),0))</f>
        <v/>
      </c>
      <c r="N9" s="115" t="str">
        <f>IF(Revenue="","",IF(AND(DurInternalUsed&gt;0,N$7&gt;=1,N$7&lt;PhaseStartDiag),PlanInternal/DurInternalUsed,0)+IF(AND(DurDiagUsed&gt;0,N$7&gt;=PhaseStartDiag,N$7&lt;PhaseStartSprint),PlanDiag/DurDiagUsed,0)+IF(AND(DurSprintUsed&gt;0,N$7&gt;=PhaseStartSprint,N$7&lt;PhaseStartBuild),PlanSprint/DurSprintUsed,0)+IF(AND(DurBuildUsed&gt;0,N$7&gt;=PhaseStartBuild,N$7&lt;SustainStartMonth),PlanBuild/DurBuildUsed,0)+IF(N$7&gt;=SustainStartMonth,PlanSustain,0)+IF(N$7=PhaseStartDiag,PlanOther,0)+IF(AND(N$7&gt;=PhaseStartBuild,N$7&lt;PhaseStartBuild+AdoptWindow),PlanAdopt/AdoptWindow,0)+IF(AND(SustainStartMonth&gt;1,N$7&lt;SustainStartMonth),PlanTeam/(SustainStartMonth-1),0))</f>
        <v/>
      </c>
    </row>
    <row r="10" ht="15" customHeight="1">
      <c r="B10" s="20" t="inlineStr">
        <is>
          <t>Value captured (ramp)</t>
        </is>
      </c>
      <c r="C10" s="115" t="str">
        <f>IF(Revenue="","",PrizeUsed/12*(1-VolumeHaircutUsed)*MIN(1,MAX(0,(C$7-ValueStartUsed+1)/RampMonthsUsed)))</f>
        <v/>
      </c>
      <c r="D10" s="115" t="str">
        <f>IF(Revenue="","",PrizeUsed/12*(1-VolumeHaircutUsed)*MIN(1,MAX(0,(D$7-ValueStartUsed+1)/RampMonthsUsed)))</f>
        <v/>
      </c>
      <c r="E10" s="115" t="str">
        <f>IF(Revenue="","",PrizeUsed/12*(1-VolumeHaircutUsed)*MIN(1,MAX(0,(E$7-ValueStartUsed+1)/RampMonthsUsed)))</f>
        <v/>
      </c>
      <c r="F10" s="115" t="str">
        <f>IF(Revenue="","",PrizeUsed/12*(1-VolumeHaircutUsed)*MIN(1,MAX(0,(F$7-ValueStartUsed+1)/RampMonthsUsed)))</f>
        <v/>
      </c>
      <c r="G10" s="115" t="str">
        <f>IF(Revenue="","",PrizeUsed/12*(1-VolumeHaircutUsed)*MIN(1,MAX(0,(G$7-ValueStartUsed+1)/RampMonthsUsed)))</f>
        <v/>
      </c>
      <c r="H10" s="115" t="str">
        <f>IF(Revenue="","",PrizeUsed/12*(1-VolumeHaircutUsed)*MIN(1,MAX(0,(H$7-ValueStartUsed+1)/RampMonthsUsed)))</f>
        <v/>
      </c>
      <c r="I10" s="115" t="str">
        <f>IF(Revenue="","",PrizeUsed/12*(1-VolumeHaircutUsed)*MIN(1,MAX(0,(I$7-ValueStartUsed+1)/RampMonthsUsed)))</f>
        <v/>
      </c>
      <c r="J10" s="115" t="str">
        <f>IF(Revenue="","",PrizeUsed/12*(1-VolumeHaircutUsed)*MIN(1,MAX(0,(J$7-ValueStartUsed+1)/RampMonthsUsed)))</f>
        <v/>
      </c>
      <c r="K10" s="115" t="str">
        <f>IF(Revenue="","",PrizeUsed/12*(1-VolumeHaircutUsed)*MIN(1,MAX(0,(K$7-ValueStartUsed+1)/RampMonthsUsed)))</f>
        <v/>
      </c>
      <c r="L10" s="115" t="str">
        <f>IF(Revenue="","",PrizeUsed/12*(1-VolumeHaircutUsed)*MIN(1,MAX(0,(L$7-ValueStartUsed+1)/RampMonthsUsed)))</f>
        <v/>
      </c>
      <c r="M10" s="115" t="str">
        <f>IF(Revenue="","",PrizeUsed/12*(1-VolumeHaircutUsed)*MIN(1,MAX(0,(M$7-ValueStartUsed+1)/RampMonthsUsed)))</f>
        <v/>
      </c>
      <c r="N10" s="115" t="str">
        <f>IF(Revenue="","",PrizeUsed/12*(1-VolumeHaircutUsed)*MIN(1,MAX(0,(N$7-ValueStartUsed+1)/RampMonthsUsed)))</f>
        <v/>
      </c>
    </row>
    <row r="11" ht="15" customHeight="1">
      <c r="B11" s="20" t="inlineStr">
        <is>
          <t>Net</t>
        </is>
      </c>
      <c r="C11" s="115" t="str">
        <f>IF(Revenue="","",C10-C9)</f>
        <v/>
      </c>
      <c r="D11" s="115" t="str">
        <f>IF(Revenue="","",D10-D9)</f>
        <v/>
      </c>
      <c r="E11" s="115" t="str">
        <f>IF(Revenue="","",E10-E9)</f>
        <v/>
      </c>
      <c r="F11" s="115" t="str">
        <f>IF(Revenue="","",F10-F9)</f>
        <v/>
      </c>
      <c r="G11" s="115" t="str">
        <f>IF(Revenue="","",G10-G9)</f>
        <v/>
      </c>
      <c r="H11" s="115" t="str">
        <f>IF(Revenue="","",H10-H9)</f>
        <v/>
      </c>
      <c r="I11" s="115" t="str">
        <f>IF(Revenue="","",I10-I9)</f>
        <v/>
      </c>
      <c r="J11" s="115" t="str">
        <f>IF(Revenue="","",J10-J9)</f>
        <v/>
      </c>
      <c r="K11" s="115" t="str">
        <f>IF(Revenue="","",K10-K9)</f>
        <v/>
      </c>
      <c r="L11" s="115" t="str">
        <f>IF(Revenue="","",L10-L9)</f>
        <v/>
      </c>
      <c r="M11" s="115" t="str">
        <f>IF(Revenue="","",M10-M9)</f>
        <v/>
      </c>
      <c r="N11" s="115" t="str">
        <f>IF(Revenue="","",N10-N9)</f>
        <v/>
      </c>
    </row>
    <row r="12" ht="15" customHeight="1">
      <c r="B12" s="116" t="inlineStr">
        <is>
          <t>Cumulative net</t>
        </is>
      </c>
      <c r="C12" s="117" t="str">
        <f>IF(Revenue="","",C11)</f>
        <v/>
      </c>
      <c r="D12" s="117" t="str">
        <f>IF(Revenue="","",C12+D11)</f>
        <v/>
      </c>
      <c r="E12" s="117" t="str">
        <f>IF(Revenue="","",D12+E11)</f>
        <v/>
      </c>
      <c r="F12" s="117" t="str">
        <f>IF(Revenue="","",E12+F11)</f>
        <v/>
      </c>
      <c r="G12" s="117" t="str">
        <f>IF(Revenue="","",F12+G11)</f>
        <v/>
      </c>
      <c r="H12" s="117" t="str">
        <f>IF(Revenue="","",G12+H11)</f>
        <v/>
      </c>
      <c r="I12" s="117" t="str">
        <f>IF(Revenue="","",H12+I11)</f>
        <v/>
      </c>
      <c r="J12" s="117" t="str">
        <f>IF(Revenue="","",I12+J11)</f>
        <v/>
      </c>
      <c r="K12" s="117" t="str">
        <f>IF(Revenue="","",J12+K11)</f>
        <v/>
      </c>
      <c r="L12" s="117" t="str">
        <f>IF(Revenue="","",K12+L11)</f>
        <v/>
      </c>
      <c r="M12" s="117" t="str">
        <f>IF(Revenue="","",L12+M11)</f>
        <v/>
      </c>
      <c r="N12" s="117" t="str">
        <f>IF(Revenue="","",M12+N11)</f>
        <v/>
      </c>
    </row>
    <row r="13" hidden="1" ht="14" customHeight="1">
      <c r="B13" s="118" t="inlineStr">
        <is>
          <t>Paid back? (1 = yes · helper)</t>
        </is>
      </c>
      <c r="C13" s="87" t="str">
        <f>IF(Revenue="","",IF(AND(C12&gt;=0,SUM($C$10:C$10)&gt;0),1,0))</f>
        <v/>
      </c>
      <c r="D13" s="87" t="str">
        <f>IF(Revenue="","",IF(AND(D12&gt;=0,SUM($C$10:D$10)&gt;0),1,0))</f>
        <v/>
      </c>
      <c r="E13" s="87" t="str">
        <f>IF(Revenue="","",IF(AND(E12&gt;=0,SUM($C$10:E$10)&gt;0),1,0))</f>
        <v/>
      </c>
      <c r="F13" s="87" t="str">
        <f>IF(Revenue="","",IF(AND(F12&gt;=0,SUM($C$10:F$10)&gt;0),1,0))</f>
        <v/>
      </c>
      <c r="G13" s="87" t="str">
        <f>IF(Revenue="","",IF(AND(G12&gt;=0,SUM($C$10:G$10)&gt;0),1,0))</f>
        <v/>
      </c>
      <c r="H13" s="87" t="str">
        <f>IF(Revenue="","",IF(AND(H12&gt;=0,SUM($C$10:H$10)&gt;0),1,0))</f>
        <v/>
      </c>
      <c r="I13" s="87" t="str">
        <f>IF(Revenue="","",IF(AND(I12&gt;=0,SUM($C$10:I$10)&gt;0),1,0))</f>
        <v/>
      </c>
      <c r="J13" s="87" t="str">
        <f>IF(Revenue="","",IF(AND(J12&gt;=0,SUM($C$10:J$10)&gt;0),1,0))</f>
        <v/>
      </c>
      <c r="K13" s="87" t="str">
        <f>IF(Revenue="","",IF(AND(K12&gt;=0,SUM($C$10:K$10)&gt;0),1,0))</f>
        <v/>
      </c>
      <c r="L13" s="87" t="str">
        <f>IF(Revenue="","",IF(AND(L12&gt;=0,SUM($C$10:L$10)&gt;0),1,0))</f>
        <v/>
      </c>
      <c r="M13" s="87" t="str">
        <f>IF(Revenue="","",IF(AND(M12&gt;=0,SUM($C$10:M$10)&gt;0),1,0))</f>
        <v/>
      </c>
      <c r="N13" s="87" t="str">
        <f>IF(Revenue="","",IF(AND(N12&gt;=0,SUM($C$10:N$10)&gt;0),1,0))</f>
        <v/>
      </c>
    </row>
    <row r="14" ht="5" customHeight="1"/>
    <row r="15" hidden="1" ht="14" customHeight="1">
      <c r="B15" s="113" t="inlineStr">
        <is>
          <t>Month number (helper)</t>
        </is>
      </c>
      <c r="C15" s="110" t="n">
        <v>13</v>
      </c>
      <c r="D15" s="110" t="n">
        <v>14</v>
      </c>
      <c r="E15" s="110" t="n">
        <v>15</v>
      </c>
      <c r="F15" s="110" t="n">
        <v>16</v>
      </c>
      <c r="G15" s="110" t="n">
        <v>17</v>
      </c>
      <c r="H15" s="110" t="n">
        <v>18</v>
      </c>
      <c r="I15" s="110" t="n">
        <v>19</v>
      </c>
      <c r="J15" s="110" t="n">
        <v>20</v>
      </c>
      <c r="K15" s="110" t="n">
        <v>21</v>
      </c>
      <c r="L15" s="110" t="n">
        <v>22</v>
      </c>
      <c r="M15" s="110" t="n">
        <v>23</v>
      </c>
      <c r="N15" s="110" t="n">
        <v>24</v>
      </c>
    </row>
    <row r="16" ht="17" customHeight="1">
      <c r="B16" s="17" t="inlineStr">
        <is>
          <t>Month</t>
        </is>
      </c>
      <c r="C16" s="114" t="str">
        <f>C$15&amp;" · "&amp;TEXT(EDATE(DATE(StartYearUsed,StartMonthUsed,1),C$15-1),"mmm yy")</f>
        <v>13 · Jan 28</v>
      </c>
      <c r="D16" s="114" t="str">
        <f>D$15&amp;" · "&amp;TEXT(EDATE(DATE(StartYearUsed,StartMonthUsed,1),D$15-1),"mmm yy")</f>
        <v>14 · Feb 28</v>
      </c>
      <c r="E16" s="114" t="str">
        <f>E$15&amp;" · "&amp;TEXT(EDATE(DATE(StartYearUsed,StartMonthUsed,1),E$15-1),"mmm yy")</f>
        <v>15 · Mar 28</v>
      </c>
      <c r="F16" s="114" t="str">
        <f>F$15&amp;" · "&amp;TEXT(EDATE(DATE(StartYearUsed,StartMonthUsed,1),F$15-1),"mmm yy")</f>
        <v>16 · Apr 28</v>
      </c>
      <c r="G16" s="114" t="str">
        <f>G$15&amp;" · "&amp;TEXT(EDATE(DATE(StartYearUsed,StartMonthUsed,1),G$15-1),"mmm yy")</f>
        <v>17 · May 28</v>
      </c>
      <c r="H16" s="114" t="str">
        <f>H$15&amp;" · "&amp;TEXT(EDATE(DATE(StartYearUsed,StartMonthUsed,1),H$15-1),"mmm yy")</f>
        <v>18 · Jun 28</v>
      </c>
      <c r="I16" s="114" t="str">
        <f>I$15&amp;" · "&amp;TEXT(EDATE(DATE(StartYearUsed,StartMonthUsed,1),I$15-1),"mmm yy")</f>
        <v>19 · Jul 28</v>
      </c>
      <c r="J16" s="114" t="str">
        <f>J$15&amp;" · "&amp;TEXT(EDATE(DATE(StartYearUsed,StartMonthUsed,1),J$15-1),"mmm yy")</f>
        <v>20 · Aug 28</v>
      </c>
      <c r="K16" s="114" t="str">
        <f>K$15&amp;" · "&amp;TEXT(EDATE(DATE(StartYearUsed,StartMonthUsed,1),K$15-1),"mmm yy")</f>
        <v>21 · Sep 28</v>
      </c>
      <c r="L16" s="114" t="str">
        <f>L$15&amp;" · "&amp;TEXT(EDATE(DATE(StartYearUsed,StartMonthUsed,1),L$15-1),"mmm yy")</f>
        <v>22 · Oct 28</v>
      </c>
      <c r="M16" s="114" t="str">
        <f>M$15&amp;" · "&amp;TEXT(EDATE(DATE(StartYearUsed,StartMonthUsed,1),M$15-1),"mmm yy")</f>
        <v>23 · Nov 28</v>
      </c>
      <c r="N16" s="114" t="str">
        <f>N$15&amp;" · "&amp;TEXT(EDATE(DATE(StartYearUsed,StartMonthUsed,1),N$15-1),"mmm yy")</f>
        <v>24 · Dec 28</v>
      </c>
    </row>
    <row r="17" ht="15" customHeight="1">
      <c r="B17" s="20" t="inlineStr">
        <is>
          <t>Spend (ladder + sustain)</t>
        </is>
      </c>
      <c r="C17" s="115" t="str">
        <f>IF(Revenue="","",IF(AND(DurInternalUsed&gt;0,C$15&gt;=1,C$15&lt;PhaseStartDiag),PlanInternal/DurInternalUsed,0)+IF(AND(DurDiagUsed&gt;0,C$15&gt;=PhaseStartDiag,C$15&lt;PhaseStartSprint),PlanDiag/DurDiagUsed,0)+IF(AND(DurSprintUsed&gt;0,C$15&gt;=PhaseStartSprint,C$15&lt;PhaseStartBuild),PlanSprint/DurSprintUsed,0)+IF(AND(DurBuildUsed&gt;0,C$15&gt;=PhaseStartBuild,C$15&lt;SustainStartMonth),PlanBuild/DurBuildUsed,0)+IF(C$15&gt;=SustainStartMonth,PlanSustain,0)+IF(C$15=PhaseStartDiag,PlanOther,0)+IF(AND(C$15&gt;=PhaseStartBuild,C$15&lt;PhaseStartBuild+AdoptWindow),PlanAdopt/AdoptWindow,0)+IF(AND(SustainStartMonth&gt;1,C$15&lt;SustainStartMonth),PlanTeam/(SustainStartMonth-1),0))</f>
        <v/>
      </c>
      <c r="D17" s="115" t="str">
        <f>IF(Revenue="","",IF(AND(DurInternalUsed&gt;0,D$15&gt;=1,D$15&lt;PhaseStartDiag),PlanInternal/DurInternalUsed,0)+IF(AND(DurDiagUsed&gt;0,D$15&gt;=PhaseStartDiag,D$15&lt;PhaseStartSprint),PlanDiag/DurDiagUsed,0)+IF(AND(DurSprintUsed&gt;0,D$15&gt;=PhaseStartSprint,D$15&lt;PhaseStartBuild),PlanSprint/DurSprintUsed,0)+IF(AND(DurBuildUsed&gt;0,D$15&gt;=PhaseStartBuild,D$15&lt;SustainStartMonth),PlanBuild/DurBuildUsed,0)+IF(D$15&gt;=SustainStartMonth,PlanSustain,0)+IF(D$15=PhaseStartDiag,PlanOther,0)+IF(AND(D$15&gt;=PhaseStartBuild,D$15&lt;PhaseStartBuild+AdoptWindow),PlanAdopt/AdoptWindow,0)+IF(AND(SustainStartMonth&gt;1,D$15&lt;SustainStartMonth),PlanTeam/(SustainStartMonth-1),0))</f>
        <v/>
      </c>
      <c r="E17" s="115" t="str">
        <f>IF(Revenue="","",IF(AND(DurInternalUsed&gt;0,E$15&gt;=1,E$15&lt;PhaseStartDiag),PlanInternal/DurInternalUsed,0)+IF(AND(DurDiagUsed&gt;0,E$15&gt;=PhaseStartDiag,E$15&lt;PhaseStartSprint),PlanDiag/DurDiagUsed,0)+IF(AND(DurSprintUsed&gt;0,E$15&gt;=PhaseStartSprint,E$15&lt;PhaseStartBuild),PlanSprint/DurSprintUsed,0)+IF(AND(DurBuildUsed&gt;0,E$15&gt;=PhaseStartBuild,E$15&lt;SustainStartMonth),PlanBuild/DurBuildUsed,0)+IF(E$15&gt;=SustainStartMonth,PlanSustain,0)+IF(E$15=PhaseStartDiag,PlanOther,0)+IF(AND(E$15&gt;=PhaseStartBuild,E$15&lt;PhaseStartBuild+AdoptWindow),PlanAdopt/AdoptWindow,0)+IF(AND(SustainStartMonth&gt;1,E$15&lt;SustainStartMonth),PlanTeam/(SustainStartMonth-1),0))</f>
        <v/>
      </c>
      <c r="F17" s="115" t="str">
        <f>IF(Revenue="","",IF(AND(DurInternalUsed&gt;0,F$15&gt;=1,F$15&lt;PhaseStartDiag),PlanInternal/DurInternalUsed,0)+IF(AND(DurDiagUsed&gt;0,F$15&gt;=PhaseStartDiag,F$15&lt;PhaseStartSprint),PlanDiag/DurDiagUsed,0)+IF(AND(DurSprintUsed&gt;0,F$15&gt;=PhaseStartSprint,F$15&lt;PhaseStartBuild),PlanSprint/DurSprintUsed,0)+IF(AND(DurBuildUsed&gt;0,F$15&gt;=PhaseStartBuild,F$15&lt;SustainStartMonth),PlanBuild/DurBuildUsed,0)+IF(F$15&gt;=SustainStartMonth,PlanSustain,0)+IF(F$15=PhaseStartDiag,PlanOther,0)+IF(AND(F$15&gt;=PhaseStartBuild,F$15&lt;PhaseStartBuild+AdoptWindow),PlanAdopt/AdoptWindow,0)+IF(AND(SustainStartMonth&gt;1,F$15&lt;SustainStartMonth),PlanTeam/(SustainStartMonth-1),0))</f>
        <v/>
      </c>
      <c r="G17" s="115" t="str">
        <f>IF(Revenue="","",IF(AND(DurInternalUsed&gt;0,G$15&gt;=1,G$15&lt;PhaseStartDiag),PlanInternal/DurInternalUsed,0)+IF(AND(DurDiagUsed&gt;0,G$15&gt;=PhaseStartDiag,G$15&lt;PhaseStartSprint),PlanDiag/DurDiagUsed,0)+IF(AND(DurSprintUsed&gt;0,G$15&gt;=PhaseStartSprint,G$15&lt;PhaseStartBuild),PlanSprint/DurSprintUsed,0)+IF(AND(DurBuildUsed&gt;0,G$15&gt;=PhaseStartBuild,G$15&lt;SustainStartMonth),PlanBuild/DurBuildUsed,0)+IF(G$15&gt;=SustainStartMonth,PlanSustain,0)+IF(G$15=PhaseStartDiag,PlanOther,0)+IF(AND(G$15&gt;=PhaseStartBuild,G$15&lt;PhaseStartBuild+AdoptWindow),PlanAdopt/AdoptWindow,0)+IF(AND(SustainStartMonth&gt;1,G$15&lt;SustainStartMonth),PlanTeam/(SustainStartMonth-1),0))</f>
        <v/>
      </c>
      <c r="H17" s="115" t="str">
        <f>IF(Revenue="","",IF(AND(DurInternalUsed&gt;0,H$15&gt;=1,H$15&lt;PhaseStartDiag),PlanInternal/DurInternalUsed,0)+IF(AND(DurDiagUsed&gt;0,H$15&gt;=PhaseStartDiag,H$15&lt;PhaseStartSprint),PlanDiag/DurDiagUsed,0)+IF(AND(DurSprintUsed&gt;0,H$15&gt;=PhaseStartSprint,H$15&lt;PhaseStartBuild),PlanSprint/DurSprintUsed,0)+IF(AND(DurBuildUsed&gt;0,H$15&gt;=PhaseStartBuild,H$15&lt;SustainStartMonth),PlanBuild/DurBuildUsed,0)+IF(H$15&gt;=SustainStartMonth,PlanSustain,0)+IF(H$15=PhaseStartDiag,PlanOther,0)+IF(AND(H$15&gt;=PhaseStartBuild,H$15&lt;PhaseStartBuild+AdoptWindow),PlanAdopt/AdoptWindow,0)+IF(AND(SustainStartMonth&gt;1,H$15&lt;SustainStartMonth),PlanTeam/(SustainStartMonth-1),0))</f>
        <v/>
      </c>
      <c r="I17" s="115" t="str">
        <f>IF(Revenue="","",IF(AND(DurInternalUsed&gt;0,I$15&gt;=1,I$15&lt;PhaseStartDiag),PlanInternal/DurInternalUsed,0)+IF(AND(DurDiagUsed&gt;0,I$15&gt;=PhaseStartDiag,I$15&lt;PhaseStartSprint),PlanDiag/DurDiagUsed,0)+IF(AND(DurSprintUsed&gt;0,I$15&gt;=PhaseStartSprint,I$15&lt;PhaseStartBuild),PlanSprint/DurSprintUsed,0)+IF(AND(DurBuildUsed&gt;0,I$15&gt;=PhaseStartBuild,I$15&lt;SustainStartMonth),PlanBuild/DurBuildUsed,0)+IF(I$15&gt;=SustainStartMonth,PlanSustain,0)+IF(I$15=PhaseStartDiag,PlanOther,0)+IF(AND(I$15&gt;=PhaseStartBuild,I$15&lt;PhaseStartBuild+AdoptWindow),PlanAdopt/AdoptWindow,0)+IF(AND(SustainStartMonth&gt;1,I$15&lt;SustainStartMonth),PlanTeam/(SustainStartMonth-1),0))</f>
        <v/>
      </c>
      <c r="J17" s="115" t="str">
        <f>IF(Revenue="","",IF(AND(DurInternalUsed&gt;0,J$15&gt;=1,J$15&lt;PhaseStartDiag),PlanInternal/DurInternalUsed,0)+IF(AND(DurDiagUsed&gt;0,J$15&gt;=PhaseStartDiag,J$15&lt;PhaseStartSprint),PlanDiag/DurDiagUsed,0)+IF(AND(DurSprintUsed&gt;0,J$15&gt;=PhaseStartSprint,J$15&lt;PhaseStartBuild),PlanSprint/DurSprintUsed,0)+IF(AND(DurBuildUsed&gt;0,J$15&gt;=PhaseStartBuild,J$15&lt;SustainStartMonth),PlanBuild/DurBuildUsed,0)+IF(J$15&gt;=SustainStartMonth,PlanSustain,0)+IF(J$15=PhaseStartDiag,PlanOther,0)+IF(AND(J$15&gt;=PhaseStartBuild,J$15&lt;PhaseStartBuild+AdoptWindow),PlanAdopt/AdoptWindow,0)+IF(AND(SustainStartMonth&gt;1,J$15&lt;SustainStartMonth),PlanTeam/(SustainStartMonth-1),0))</f>
        <v/>
      </c>
      <c r="K17" s="115" t="str">
        <f>IF(Revenue="","",IF(AND(DurInternalUsed&gt;0,K$15&gt;=1,K$15&lt;PhaseStartDiag),PlanInternal/DurInternalUsed,0)+IF(AND(DurDiagUsed&gt;0,K$15&gt;=PhaseStartDiag,K$15&lt;PhaseStartSprint),PlanDiag/DurDiagUsed,0)+IF(AND(DurSprintUsed&gt;0,K$15&gt;=PhaseStartSprint,K$15&lt;PhaseStartBuild),PlanSprint/DurSprintUsed,0)+IF(AND(DurBuildUsed&gt;0,K$15&gt;=PhaseStartBuild,K$15&lt;SustainStartMonth),PlanBuild/DurBuildUsed,0)+IF(K$15&gt;=SustainStartMonth,PlanSustain,0)+IF(K$15=PhaseStartDiag,PlanOther,0)+IF(AND(K$15&gt;=PhaseStartBuild,K$15&lt;PhaseStartBuild+AdoptWindow),PlanAdopt/AdoptWindow,0)+IF(AND(SustainStartMonth&gt;1,K$15&lt;SustainStartMonth),PlanTeam/(SustainStartMonth-1),0))</f>
        <v/>
      </c>
      <c r="L17" s="115" t="str">
        <f>IF(Revenue="","",IF(AND(DurInternalUsed&gt;0,L$15&gt;=1,L$15&lt;PhaseStartDiag),PlanInternal/DurInternalUsed,0)+IF(AND(DurDiagUsed&gt;0,L$15&gt;=PhaseStartDiag,L$15&lt;PhaseStartSprint),PlanDiag/DurDiagUsed,0)+IF(AND(DurSprintUsed&gt;0,L$15&gt;=PhaseStartSprint,L$15&lt;PhaseStartBuild),PlanSprint/DurSprintUsed,0)+IF(AND(DurBuildUsed&gt;0,L$15&gt;=PhaseStartBuild,L$15&lt;SustainStartMonth),PlanBuild/DurBuildUsed,0)+IF(L$15&gt;=SustainStartMonth,PlanSustain,0)+IF(L$15=PhaseStartDiag,PlanOther,0)+IF(AND(L$15&gt;=PhaseStartBuild,L$15&lt;PhaseStartBuild+AdoptWindow),PlanAdopt/AdoptWindow,0)+IF(AND(SustainStartMonth&gt;1,L$15&lt;SustainStartMonth),PlanTeam/(SustainStartMonth-1),0))</f>
        <v/>
      </c>
      <c r="M17" s="115" t="str">
        <f>IF(Revenue="","",IF(AND(DurInternalUsed&gt;0,M$15&gt;=1,M$15&lt;PhaseStartDiag),PlanInternal/DurInternalUsed,0)+IF(AND(DurDiagUsed&gt;0,M$15&gt;=PhaseStartDiag,M$15&lt;PhaseStartSprint),PlanDiag/DurDiagUsed,0)+IF(AND(DurSprintUsed&gt;0,M$15&gt;=PhaseStartSprint,M$15&lt;PhaseStartBuild),PlanSprint/DurSprintUsed,0)+IF(AND(DurBuildUsed&gt;0,M$15&gt;=PhaseStartBuild,M$15&lt;SustainStartMonth),PlanBuild/DurBuildUsed,0)+IF(M$15&gt;=SustainStartMonth,PlanSustain,0)+IF(M$15=PhaseStartDiag,PlanOther,0)+IF(AND(M$15&gt;=PhaseStartBuild,M$15&lt;PhaseStartBuild+AdoptWindow),PlanAdopt/AdoptWindow,0)+IF(AND(SustainStartMonth&gt;1,M$15&lt;SustainStartMonth),PlanTeam/(SustainStartMonth-1),0))</f>
        <v/>
      </c>
      <c r="N17" s="115" t="str">
        <f>IF(Revenue="","",IF(AND(DurInternalUsed&gt;0,N$15&gt;=1,N$15&lt;PhaseStartDiag),PlanInternal/DurInternalUsed,0)+IF(AND(DurDiagUsed&gt;0,N$15&gt;=PhaseStartDiag,N$15&lt;PhaseStartSprint),PlanDiag/DurDiagUsed,0)+IF(AND(DurSprintUsed&gt;0,N$15&gt;=PhaseStartSprint,N$15&lt;PhaseStartBuild),PlanSprint/DurSprintUsed,0)+IF(AND(DurBuildUsed&gt;0,N$15&gt;=PhaseStartBuild,N$15&lt;SustainStartMonth),PlanBuild/DurBuildUsed,0)+IF(N$15&gt;=SustainStartMonth,PlanSustain,0)+IF(N$15=PhaseStartDiag,PlanOther,0)+IF(AND(N$15&gt;=PhaseStartBuild,N$15&lt;PhaseStartBuild+AdoptWindow),PlanAdopt/AdoptWindow,0)+IF(AND(SustainStartMonth&gt;1,N$15&lt;SustainStartMonth),PlanTeam/(SustainStartMonth-1),0))</f>
        <v/>
      </c>
    </row>
    <row r="18" ht="15" customHeight="1">
      <c r="B18" s="20" t="inlineStr">
        <is>
          <t>Value captured (ramp)</t>
        </is>
      </c>
      <c r="C18" s="115" t="str">
        <f>IF(Revenue="","",PrizeUsed/12*(1-VolumeHaircutUsed)*MIN(1,MAX(0,(C$15-ValueStartUsed+1)/RampMonthsUsed)))</f>
        <v/>
      </c>
      <c r="D18" s="115" t="str">
        <f>IF(Revenue="","",PrizeUsed/12*(1-VolumeHaircutUsed)*MIN(1,MAX(0,(D$15-ValueStartUsed+1)/RampMonthsUsed)))</f>
        <v/>
      </c>
      <c r="E18" s="115" t="str">
        <f>IF(Revenue="","",PrizeUsed/12*(1-VolumeHaircutUsed)*MIN(1,MAX(0,(E$15-ValueStartUsed+1)/RampMonthsUsed)))</f>
        <v/>
      </c>
      <c r="F18" s="115" t="str">
        <f>IF(Revenue="","",PrizeUsed/12*(1-VolumeHaircutUsed)*MIN(1,MAX(0,(F$15-ValueStartUsed+1)/RampMonthsUsed)))</f>
        <v/>
      </c>
      <c r="G18" s="115" t="str">
        <f>IF(Revenue="","",PrizeUsed/12*(1-VolumeHaircutUsed)*MIN(1,MAX(0,(G$15-ValueStartUsed+1)/RampMonthsUsed)))</f>
        <v/>
      </c>
      <c r="H18" s="115" t="str">
        <f>IF(Revenue="","",PrizeUsed/12*(1-VolumeHaircutUsed)*MIN(1,MAX(0,(H$15-ValueStartUsed+1)/RampMonthsUsed)))</f>
        <v/>
      </c>
      <c r="I18" s="115" t="str">
        <f>IF(Revenue="","",PrizeUsed/12*(1-VolumeHaircutUsed)*MIN(1,MAX(0,(I$15-ValueStartUsed+1)/RampMonthsUsed)))</f>
        <v/>
      </c>
      <c r="J18" s="115" t="str">
        <f>IF(Revenue="","",PrizeUsed/12*(1-VolumeHaircutUsed)*MIN(1,MAX(0,(J$15-ValueStartUsed+1)/RampMonthsUsed)))</f>
        <v/>
      </c>
      <c r="K18" s="115" t="str">
        <f>IF(Revenue="","",PrizeUsed/12*(1-VolumeHaircutUsed)*MIN(1,MAX(0,(K$15-ValueStartUsed+1)/RampMonthsUsed)))</f>
        <v/>
      </c>
      <c r="L18" s="115" t="str">
        <f>IF(Revenue="","",PrizeUsed/12*(1-VolumeHaircutUsed)*MIN(1,MAX(0,(L$15-ValueStartUsed+1)/RampMonthsUsed)))</f>
        <v/>
      </c>
      <c r="M18" s="115" t="str">
        <f>IF(Revenue="","",PrizeUsed/12*(1-VolumeHaircutUsed)*MIN(1,MAX(0,(M$15-ValueStartUsed+1)/RampMonthsUsed)))</f>
        <v/>
      </c>
      <c r="N18" s="115" t="str">
        <f>IF(Revenue="","",PrizeUsed/12*(1-VolumeHaircutUsed)*MIN(1,MAX(0,(N$15-ValueStartUsed+1)/RampMonthsUsed)))</f>
        <v/>
      </c>
    </row>
    <row r="19" ht="15" customHeight="1">
      <c r="B19" s="20" t="inlineStr">
        <is>
          <t>Net</t>
        </is>
      </c>
      <c r="C19" s="115" t="str">
        <f>IF(Revenue="","",C18-C17)</f>
        <v/>
      </c>
      <c r="D19" s="115" t="str">
        <f>IF(Revenue="","",D18-D17)</f>
        <v/>
      </c>
      <c r="E19" s="115" t="str">
        <f>IF(Revenue="","",E18-E17)</f>
        <v/>
      </c>
      <c r="F19" s="115" t="str">
        <f>IF(Revenue="","",F18-F17)</f>
        <v/>
      </c>
      <c r="G19" s="115" t="str">
        <f>IF(Revenue="","",G18-G17)</f>
        <v/>
      </c>
      <c r="H19" s="115" t="str">
        <f>IF(Revenue="","",H18-H17)</f>
        <v/>
      </c>
      <c r="I19" s="115" t="str">
        <f>IF(Revenue="","",I18-I17)</f>
        <v/>
      </c>
      <c r="J19" s="115" t="str">
        <f>IF(Revenue="","",J18-J17)</f>
        <v/>
      </c>
      <c r="K19" s="115" t="str">
        <f>IF(Revenue="","",K18-K17)</f>
        <v/>
      </c>
      <c r="L19" s="115" t="str">
        <f>IF(Revenue="","",L18-L17)</f>
        <v/>
      </c>
      <c r="M19" s="115" t="str">
        <f>IF(Revenue="","",M18-M17)</f>
        <v/>
      </c>
      <c r="N19" s="115" t="str">
        <f>IF(Revenue="","",N18-N17)</f>
        <v/>
      </c>
    </row>
    <row r="20" ht="15" customHeight="1">
      <c r="B20" s="116" t="inlineStr">
        <is>
          <t>Cumulative net</t>
        </is>
      </c>
      <c r="C20" s="117" t="str">
        <f>IF(Revenue="","",N12+C19)</f>
        <v/>
      </c>
      <c r="D20" s="117" t="str">
        <f>IF(Revenue="","",C20+D19)</f>
        <v/>
      </c>
      <c r="E20" s="117" t="str">
        <f>IF(Revenue="","",D20+E19)</f>
        <v/>
      </c>
      <c r="F20" s="117" t="str">
        <f>IF(Revenue="","",E20+F19)</f>
        <v/>
      </c>
      <c r="G20" s="117" t="str">
        <f>IF(Revenue="","",F20+G19)</f>
        <v/>
      </c>
      <c r="H20" s="117" t="str">
        <f>IF(Revenue="","",G20+H19)</f>
        <v/>
      </c>
      <c r="I20" s="117" t="str">
        <f>IF(Revenue="","",H20+I19)</f>
        <v/>
      </c>
      <c r="J20" s="117" t="str">
        <f>IF(Revenue="","",I20+J19)</f>
        <v/>
      </c>
      <c r="K20" s="117" t="str">
        <f>IF(Revenue="","",J20+K19)</f>
        <v/>
      </c>
      <c r="L20" s="117" t="str">
        <f>IF(Revenue="","",K20+L19)</f>
        <v/>
      </c>
      <c r="M20" s="117" t="str">
        <f>IF(Revenue="","",L20+M19)</f>
        <v/>
      </c>
      <c r="N20" s="117" t="str">
        <f>IF(Revenue="","",M20+N19)</f>
        <v/>
      </c>
    </row>
    <row r="21" hidden="1" ht="14" customHeight="1">
      <c r="B21" s="118" t="inlineStr">
        <is>
          <t>Paid back? (1 = yes · helper)</t>
        </is>
      </c>
      <c r="C21" s="87" t="str">
        <f>IF(Revenue="","",IF(AND(C20&gt;=0,SUM($C$10:$N$10)+SUM($C$18:C$18)&gt;0),1,0))</f>
        <v/>
      </c>
      <c r="D21" s="87" t="str">
        <f>IF(Revenue="","",IF(AND(D20&gt;=0,SUM($C$10:$N$10)+SUM($C$18:D$18)&gt;0),1,0))</f>
        <v/>
      </c>
      <c r="E21" s="87" t="str">
        <f>IF(Revenue="","",IF(AND(E20&gt;=0,SUM($C$10:$N$10)+SUM($C$18:E$18)&gt;0),1,0))</f>
        <v/>
      </c>
      <c r="F21" s="87" t="str">
        <f>IF(Revenue="","",IF(AND(F20&gt;=0,SUM($C$10:$N$10)+SUM($C$18:F$18)&gt;0),1,0))</f>
        <v/>
      </c>
      <c r="G21" s="87" t="str">
        <f>IF(Revenue="","",IF(AND(G20&gt;=0,SUM($C$10:$N$10)+SUM($C$18:G$18)&gt;0),1,0))</f>
        <v/>
      </c>
      <c r="H21" s="87" t="str">
        <f>IF(Revenue="","",IF(AND(H20&gt;=0,SUM($C$10:$N$10)+SUM($C$18:H$18)&gt;0),1,0))</f>
        <v/>
      </c>
      <c r="I21" s="87" t="str">
        <f>IF(Revenue="","",IF(AND(I20&gt;=0,SUM($C$10:$N$10)+SUM($C$18:I$18)&gt;0),1,0))</f>
        <v/>
      </c>
      <c r="J21" s="87" t="str">
        <f>IF(Revenue="","",IF(AND(J20&gt;=0,SUM($C$10:$N$10)+SUM($C$18:J$18)&gt;0),1,0))</f>
        <v/>
      </c>
      <c r="K21" s="87" t="str">
        <f>IF(Revenue="","",IF(AND(K20&gt;=0,SUM($C$10:$N$10)+SUM($C$18:K$18)&gt;0),1,0))</f>
        <v/>
      </c>
      <c r="L21" s="87" t="str">
        <f>IF(Revenue="","",IF(AND(L20&gt;=0,SUM($C$10:$N$10)+SUM($C$18:L$18)&gt;0),1,0))</f>
        <v/>
      </c>
      <c r="M21" s="87" t="str">
        <f>IF(Revenue="","",IF(AND(M20&gt;=0,SUM($C$10:$N$10)+SUM($C$18:M$18)&gt;0),1,0))</f>
        <v/>
      </c>
      <c r="N21" s="87" t="str">
        <f>IF(Revenue="","",IF(AND(N20&gt;=0,SUM($C$10:$N$10)+SUM($C$18:N$18)&gt;0),1,0))</f>
        <v/>
      </c>
    </row>
    <row r="22" ht="5" customHeight="1"/>
    <row r="23" ht="17" customHeight="1">
      <c r="B23" s="6" t="inlineStr">
        <is>
          <t>PAYBACK · against your planning prize</t>
        </is>
      </c>
      <c r="C23" s="7" t="n"/>
      <c r="D23" s="7" t="n"/>
      <c r="E23" s="7" t="n"/>
      <c r="F23" s="7" t="n"/>
      <c r="G23" s="7" t="n"/>
      <c r="H23" s="7" t="n"/>
      <c r="I23" s="7" t="n"/>
      <c r="J23" s="119" t="inlineStr">
        <is>
          <t>SCENARIOS · same spend, different value</t>
        </is>
      </c>
      <c r="K23" s="7" t="n"/>
      <c r="L23" s="7" t="n"/>
      <c r="M23" s="7" t="n"/>
      <c r="N23" s="7" t="n"/>
    </row>
    <row r="24" ht="24" customHeight="1">
      <c r="B24" s="67" t="inlineStr">
        <is>
          <t>Payback month</t>
        </is>
      </c>
      <c r="C24" s="120" t="str">
        <f>IF(Revenue="","",IFERROR(MATCH(1,$C$13:$N$13,0),IFERROR(12+MATCH(1,$C$21:$N$21,0),"beyond 24 months")))</f>
        <v/>
      </c>
      <c r="E24" s="121" t="str">
        <f>IF(Revenue="","← Enter your revenue on tab 1",IF(ISNUMBER(PaybackMonth),IF(PaybackMonth&lt;=12,"Pays back inside year one (month "&amp;PaybackMonth&amp;")","Pays back in month "&amp;PaybackMonth),"Does not pay back within 24 months at these inputs"))</f>
        <v>← Enter your revenue on tab 1</v>
      </c>
      <c r="J24" s="122" t="inlineStr">
        <is>
          <t>Scenario</t>
        </is>
      </c>
      <c r="K24" s="122" t="inlineStr">
        <is>
          <t>Value</t>
        </is>
      </c>
      <c r="L24" s="122" t="inlineStr">
        <is>
          <t>Payback</t>
        </is>
      </c>
      <c r="M24" s="122" t="inlineStr">
        <is>
          <t>Year-one net</t>
        </is>
      </c>
      <c r="N24" s="7" t="n"/>
    </row>
    <row r="25" ht="25.2" customHeight="1">
      <c r="B25" s="67" t="inlineStr">
        <is>
          <t>Year-one value captured</t>
        </is>
      </c>
      <c r="C25" s="123" t="str">
        <f>IF(Revenue="","",SUM($C$10:$N$10))</f>
        <v/>
      </c>
      <c r="E25" s="82" t="str">
        <f>IF(Revenue="","","Months 1–12. Value starts in month "&amp;ValueStartUsed&amp;" and reaches the full rate in month "&amp;(ValueStartUsed+RampMonthsUsed-1)&amp;".")</f>
        <v/>
      </c>
      <c r="J25" s="124" t="inlineStr">
        <is>
          <t>Downside</t>
        </is>
      </c>
      <c r="K25" s="125" t="inlineStr">
        <is>
          <t>0.5×</t>
        </is>
      </c>
      <c r="L25" s="126" t="str">
        <f>IF(Revenue="","",IFERROR(MATCH(1,$C$56:$N$56,0),IFERROR(12+MATCH(1,$C$57:$N$57,0),"beyond 24 months")))</f>
        <v/>
      </c>
      <c r="M25" s="127" t="str">
        <f>IF(Revenue="","",0.5*SUM($C$10:$N$10)-SUM($C$9:$N$9))</f>
        <v/>
      </c>
    </row>
    <row r="26" ht="25.2" customHeight="1">
      <c r="B26" s="67" t="inlineStr">
        <is>
          <t>Year-one spend (incl. sustain)</t>
        </is>
      </c>
      <c r="C26" s="123" t="str">
        <f>IF(Revenue="","",SUM($C$9:$N$9))</f>
        <v/>
      </c>
      <c r="E26" s="82" t="str">
        <f>IF(Revenue="","Includes sustain fees from the month after the build ends.","Includes sustain, adoption and our own time. 24-month spend: "&amp;IF(ABS((SUM($C$9:$N$9)+SUM($C$17:$N$17)))&gt;=1000000,TEXT((SUM($C$9:$N$9)+SUM($C$17:$N$17))/1000000,"$0.0")&amp;"M",TEXT((SUM($C$9:$N$9)+SUM($C$17:$N$17))/1000,"$#,##0")&amp;"K")&amp;".")</f>
        <v>Includes sustain fees from the month after the build ends.</v>
      </c>
      <c r="J26" s="124" t="inlineStr">
        <is>
          <t>Base</t>
        </is>
      </c>
      <c r="K26" s="125" t="inlineStr">
        <is>
          <t>1.0×</t>
        </is>
      </c>
      <c r="L26" s="126" t="str">
        <f>PaybackMonth</f>
        <v/>
      </c>
      <c r="M26" s="127" t="str">
        <f>Y1Net</f>
        <v/>
      </c>
    </row>
    <row r="27" ht="17" customHeight="1">
      <c r="B27" s="67" t="inlineStr">
        <is>
          <t>Year-one net</t>
        </is>
      </c>
      <c r="C27" s="123" t="str">
        <f>IF(Revenue="","",Y1Value-Y1Spend)</f>
        <v/>
      </c>
      <c r="J27" s="124" t="inlineStr">
        <is>
          <t>Upside</t>
        </is>
      </c>
      <c r="K27" s="125" t="inlineStr">
        <is>
          <t>2.0×</t>
        </is>
      </c>
      <c r="L27" s="126" t="str">
        <f>IF(Revenue="","",IFERROR(MATCH(1,$C$60:$N$60,0),IFERROR(12+MATCH(1,$C$61:$N$61,0),"beyond 24 months")))</f>
        <v/>
      </c>
      <c r="M27" s="127" t="str">
        <f>IF(Revenue="","",2.0*SUM($C$10:$N$10)-SUM($C$9:$N$9))</f>
        <v/>
      </c>
    </row>
    <row r="28" ht="17" customHeight="1">
      <c r="B28" s="67" t="inlineStr">
        <is>
          <t>Year-one return multiple (gross)</t>
        </is>
      </c>
      <c r="C28" s="128" t="str">
        <f>IF(Revenue="","",IF(Y1Spend&gt;0,Y1Value/Y1Spend,""))</f>
        <v/>
      </c>
      <c r="E28" s="82" t="inlineStr">
        <is>
          <t>Year-one value divided by year-one spend (a gross multiple, not net ROI).</t>
        </is>
      </c>
      <c r="J28" s="124" t="inlineStr">
        <is>
          <t>Late start</t>
        </is>
      </c>
      <c r="K28" s="125" t="inlineStr">
        <is>
          <t>+6 mo</t>
        </is>
      </c>
      <c r="L28" s="126" t="str">
        <f>IF(Revenue="","",IFERROR(MATCH(1,$C$67:$N$67,0),IFERROR(12+MATCH(1,$C$68:$N$68,0),"beyond 24 months")))</f>
        <v/>
      </c>
      <c r="M28" s="127" t="str">
        <f>IF(Revenue="","",SUM($C$63:$N$63)-SUM($C$9:$N$9))</f>
        <v/>
      </c>
    </row>
    <row r="29" ht="17" customHeight="1">
      <c r="B29" s="67" t="inlineStr">
        <is>
          <t>Year-one net ROI</t>
        </is>
      </c>
      <c r="C29" s="128" t="str">
        <f>IF(Revenue="","",IF(Y1Spend&gt;0,(Y1Value-Y1Spend)/Y1Spend,""))</f>
        <v/>
      </c>
      <c r="E29" s="82" t="inlineStr">
        <is>
          <t>Net of the spend: what each year-one dollar returns on top of itself.</t>
        </is>
      </c>
      <c r="J29" s="129" t="str">
        <f>"24-month NPV at "&amp;TEXT(DiscountRateUsed,"0%")&amp;" a year"</f>
        <v>24-month NPV at 10% a year</v>
      </c>
      <c r="M29" s="127" t="str">
        <f>IF(Revenue="","",NPV(DiscountRateUsed/12,$C$11:$N$11,$C$19:$N$19))</f>
        <v/>
      </c>
    </row>
    <row r="30" ht="25.2" customHeight="1">
      <c r="B30" s="67" t="inlineStr">
        <is>
          <t>Breakeven capture</t>
        </is>
      </c>
      <c r="C30" s="130" t="str">
        <f>IF(Revenue="","",IF(PrizeUsed&gt;0,Y1Spend/PrizeUsed,""))</f>
        <v/>
      </c>
      <c r="E30" s="131" t="str">
        <f>IF(OR(Revenue="",NOT(ISNUMBER(BreakevenCapture))),"","Year-one spend is covered if we capture just "&amp;TEXT(BreakevenCapture,"0%")&amp;" of the planning prize"&amp;IF(N(Y1Value)&gt;0," ("&amp;TEXT(Y1Spend/Y1Value,"0%")&amp;" of the year-one value on this ramp).","."))</f>
        <v/>
      </c>
      <c r="J30" s="132" t="inlineStr">
        <is>
          <t>Downside = half the planning prize; upside = double it; late start = value begins 6 months later than plan. NPV discounts the base monthly net at the annual rate ÷ 12.</t>
        </is>
      </c>
    </row>
    <row r="31" ht="17" customHeight="1">
      <c r="B31" s="67" t="inlineStr">
        <is>
          <t>Year-two value (full run-rate)</t>
        </is>
      </c>
      <c r="C31" s="123" t="str">
        <f>IF(Revenue="","",SUM($C$18:$N$18))</f>
        <v/>
      </c>
      <c r="E31" s="82" t="inlineStr">
        <is>
          <t>Months 13–24, once the ramp is complete.</t>
        </is>
      </c>
    </row>
    <row r="32" ht="25.2" customHeight="1">
      <c r="B32" s="67" t="inlineStr">
        <is>
          <t>Run-rate return, year 2+</t>
        </is>
      </c>
      <c r="C32" s="128" t="str">
        <f>IF(Revenue="","",IF(LadderTotal&gt;0,PrizeUsed*(1-VolumeHaircutUsed)/LadderTotal,""))</f>
        <v/>
      </c>
      <c r="E32" s="82" t="inlineStr">
        <is>
          <t>The deck's 10× lives here: a full run-rate year against the one-time ladder.</t>
        </is>
      </c>
    </row>
    <row r="33" ht="4" customHeight="1"/>
    <row r="34" ht="17" customHeight="1">
      <c r="B34" s="6" t="inlineStr">
        <is>
          <t>CUMULATIVE NET, VALUE AND SPEND · 24 months</t>
        </is>
      </c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6" customHeight="1">
      <c r="B48" s="16" t="inlineStr">
        <is>
          <t>Each phase is a stage gate: value proven before the next check clears, with an exit right at every gate.</t>
        </is>
      </c>
    </row>
    <row r="52" ht="15.2" customHeight="1">
      <c r="B52" s="16" t="inlineStr">
        <is>
          <t>Helper rows for the scenarios, the late start and the chart. Not printed; leave them in place.</t>
        </is>
      </c>
    </row>
    <row r="54" ht="14" customHeight="1">
      <c r="B54" s="113" t="inlineStr">
        <is>
          <t>Downside: cumulative net, months 1–12</t>
        </is>
      </c>
      <c r="C54" s="133" t="str">
        <f>IF(Revenue="","",0+0.5*C10-C9)</f>
        <v/>
      </c>
      <c r="D54" s="133" t="str">
        <f>IF(Revenue="","",C54+0.5*D10-D9)</f>
        <v/>
      </c>
      <c r="E54" s="133" t="str">
        <f>IF(Revenue="","",D54+0.5*E10-E9)</f>
        <v/>
      </c>
      <c r="F54" s="133" t="str">
        <f>IF(Revenue="","",E54+0.5*F10-F9)</f>
        <v/>
      </c>
      <c r="G54" s="133" t="str">
        <f>IF(Revenue="","",F54+0.5*G10-G9)</f>
        <v/>
      </c>
      <c r="H54" s="133" t="str">
        <f>IF(Revenue="","",G54+0.5*H10-H9)</f>
        <v/>
      </c>
      <c r="I54" s="133" t="str">
        <f>IF(Revenue="","",H54+0.5*I10-I9)</f>
        <v/>
      </c>
      <c r="J54" s="133" t="str">
        <f>IF(Revenue="","",I54+0.5*J10-J9)</f>
        <v/>
      </c>
      <c r="K54" s="133" t="str">
        <f>IF(Revenue="","",J54+0.5*K10-K9)</f>
        <v/>
      </c>
      <c r="L54" s="133" t="str">
        <f>IF(Revenue="","",K54+0.5*L10-L9)</f>
        <v/>
      </c>
      <c r="M54" s="133" t="str">
        <f>IF(Revenue="","",L54+0.5*M10-M9)</f>
        <v/>
      </c>
      <c r="N54" s="133" t="str">
        <f>IF(Revenue="","",M54+0.5*N10-N9)</f>
        <v/>
      </c>
    </row>
    <row r="55" ht="14" customHeight="1">
      <c r="B55" s="113" t="inlineStr">
        <is>
          <t>Downside: cumulative net, months 13–24</t>
        </is>
      </c>
      <c r="C55" s="133" t="str">
        <f>IF(Revenue="","",$N$54+0.5*C18-C17)</f>
        <v/>
      </c>
      <c r="D55" s="133" t="str">
        <f>IF(Revenue="","",C55+0.5*D18-D17)</f>
        <v/>
      </c>
      <c r="E55" s="133" t="str">
        <f>IF(Revenue="","",D55+0.5*E18-E17)</f>
        <v/>
      </c>
      <c r="F55" s="133" t="str">
        <f>IF(Revenue="","",E55+0.5*F18-F17)</f>
        <v/>
      </c>
      <c r="G55" s="133" t="str">
        <f>IF(Revenue="","",F55+0.5*G18-G17)</f>
        <v/>
      </c>
      <c r="H55" s="133" t="str">
        <f>IF(Revenue="","",G55+0.5*H18-H17)</f>
        <v/>
      </c>
      <c r="I55" s="133" t="str">
        <f>IF(Revenue="","",H55+0.5*I18-I17)</f>
        <v/>
      </c>
      <c r="J55" s="133" t="str">
        <f>IF(Revenue="","",I55+0.5*J18-J17)</f>
        <v/>
      </c>
      <c r="K55" s="133" t="str">
        <f>IF(Revenue="","",J55+0.5*K18-K17)</f>
        <v/>
      </c>
      <c r="L55" s="133" t="str">
        <f>IF(Revenue="","",K55+0.5*L18-L17)</f>
        <v/>
      </c>
      <c r="M55" s="133" t="str">
        <f>IF(Revenue="","",L55+0.5*M18-M17)</f>
        <v/>
      </c>
      <c r="N55" s="133" t="str">
        <f>IF(Revenue="","",M55+0.5*N18-N17)</f>
        <v/>
      </c>
    </row>
    <row r="56" ht="14" customHeight="1">
      <c r="B56" s="113" t="inlineStr">
        <is>
          <t>Downside: paid back, months 1–12</t>
        </is>
      </c>
      <c r="C56" s="87" t="str">
        <f>IF(Revenue="","",IF(AND(C54&gt;=0,SUM($C$10:C$10)&gt;0),1,0))</f>
        <v/>
      </c>
      <c r="D56" s="87" t="str">
        <f>IF(Revenue="","",IF(AND(D54&gt;=0,SUM($C$10:D$10)&gt;0),1,0))</f>
        <v/>
      </c>
      <c r="E56" s="87" t="str">
        <f>IF(Revenue="","",IF(AND(E54&gt;=0,SUM($C$10:E$10)&gt;0),1,0))</f>
        <v/>
      </c>
      <c r="F56" s="87" t="str">
        <f>IF(Revenue="","",IF(AND(F54&gt;=0,SUM($C$10:F$10)&gt;0),1,0))</f>
        <v/>
      </c>
      <c r="G56" s="87" t="str">
        <f>IF(Revenue="","",IF(AND(G54&gt;=0,SUM($C$10:G$10)&gt;0),1,0))</f>
        <v/>
      </c>
      <c r="H56" s="87" t="str">
        <f>IF(Revenue="","",IF(AND(H54&gt;=0,SUM($C$10:H$10)&gt;0),1,0))</f>
        <v/>
      </c>
      <c r="I56" s="87" t="str">
        <f>IF(Revenue="","",IF(AND(I54&gt;=0,SUM($C$10:I$10)&gt;0),1,0))</f>
        <v/>
      </c>
      <c r="J56" s="87" t="str">
        <f>IF(Revenue="","",IF(AND(J54&gt;=0,SUM($C$10:J$10)&gt;0),1,0))</f>
        <v/>
      </c>
      <c r="K56" s="87" t="str">
        <f>IF(Revenue="","",IF(AND(K54&gt;=0,SUM($C$10:K$10)&gt;0),1,0))</f>
        <v/>
      </c>
      <c r="L56" s="87" t="str">
        <f>IF(Revenue="","",IF(AND(L54&gt;=0,SUM($C$10:L$10)&gt;0),1,0))</f>
        <v/>
      </c>
      <c r="M56" s="87" t="str">
        <f>IF(Revenue="","",IF(AND(M54&gt;=0,SUM($C$10:M$10)&gt;0),1,0))</f>
        <v/>
      </c>
      <c r="N56" s="87" t="str">
        <f>IF(Revenue="","",IF(AND(N54&gt;=0,SUM($C$10:N$10)&gt;0),1,0))</f>
        <v/>
      </c>
    </row>
    <row r="57" ht="14" customHeight="1">
      <c r="B57" s="113" t="inlineStr">
        <is>
          <t>Downside: paid back, months 13–24</t>
        </is>
      </c>
      <c r="C57" s="87" t="str">
        <f>IF(Revenue="","",IF(AND(C55&gt;=0,SUM($C$10:$N$10)+SUM($C$18:C$18)&gt;0),1,0))</f>
        <v/>
      </c>
      <c r="D57" s="87" t="str">
        <f>IF(Revenue="","",IF(AND(D55&gt;=0,SUM($C$10:$N$10)+SUM($C$18:D$18)&gt;0),1,0))</f>
        <v/>
      </c>
      <c r="E57" s="87" t="str">
        <f>IF(Revenue="","",IF(AND(E55&gt;=0,SUM($C$10:$N$10)+SUM($C$18:E$18)&gt;0),1,0))</f>
        <v/>
      </c>
      <c r="F57" s="87" t="str">
        <f>IF(Revenue="","",IF(AND(F55&gt;=0,SUM($C$10:$N$10)+SUM($C$18:F$18)&gt;0),1,0))</f>
        <v/>
      </c>
      <c r="G57" s="87" t="str">
        <f>IF(Revenue="","",IF(AND(G55&gt;=0,SUM($C$10:$N$10)+SUM($C$18:G$18)&gt;0),1,0))</f>
        <v/>
      </c>
      <c r="H57" s="87" t="str">
        <f>IF(Revenue="","",IF(AND(H55&gt;=0,SUM($C$10:$N$10)+SUM($C$18:H$18)&gt;0),1,0))</f>
        <v/>
      </c>
      <c r="I57" s="87" t="str">
        <f>IF(Revenue="","",IF(AND(I55&gt;=0,SUM($C$10:$N$10)+SUM($C$18:I$18)&gt;0),1,0))</f>
        <v/>
      </c>
      <c r="J57" s="87" t="str">
        <f>IF(Revenue="","",IF(AND(J55&gt;=0,SUM($C$10:$N$10)+SUM($C$18:J$18)&gt;0),1,0))</f>
        <v/>
      </c>
      <c r="K57" s="87" t="str">
        <f>IF(Revenue="","",IF(AND(K55&gt;=0,SUM($C$10:$N$10)+SUM($C$18:K$18)&gt;0),1,0))</f>
        <v/>
      </c>
      <c r="L57" s="87" t="str">
        <f>IF(Revenue="","",IF(AND(L55&gt;=0,SUM($C$10:$N$10)+SUM($C$18:L$18)&gt;0),1,0))</f>
        <v/>
      </c>
      <c r="M57" s="87" t="str">
        <f>IF(Revenue="","",IF(AND(M55&gt;=0,SUM($C$10:$N$10)+SUM($C$18:M$18)&gt;0),1,0))</f>
        <v/>
      </c>
      <c r="N57" s="87" t="str">
        <f>IF(Revenue="","",IF(AND(N55&gt;=0,SUM($C$10:$N$10)+SUM($C$18:N$18)&gt;0),1,0))</f>
        <v/>
      </c>
    </row>
    <row r="58" ht="14" customHeight="1">
      <c r="B58" s="113" t="inlineStr">
        <is>
          <t>Upside: cumulative net, months 1–12</t>
        </is>
      </c>
      <c r="C58" s="133" t="str">
        <f>IF(Revenue="","",0+2.0*C10-C9)</f>
        <v/>
      </c>
      <c r="D58" s="133" t="str">
        <f>IF(Revenue="","",C58+2.0*D10-D9)</f>
        <v/>
      </c>
      <c r="E58" s="133" t="str">
        <f>IF(Revenue="","",D58+2.0*E10-E9)</f>
        <v/>
      </c>
      <c r="F58" s="133" t="str">
        <f>IF(Revenue="","",E58+2.0*F10-F9)</f>
        <v/>
      </c>
      <c r="G58" s="133" t="str">
        <f>IF(Revenue="","",F58+2.0*G10-G9)</f>
        <v/>
      </c>
      <c r="H58" s="133" t="str">
        <f>IF(Revenue="","",G58+2.0*H10-H9)</f>
        <v/>
      </c>
      <c r="I58" s="133" t="str">
        <f>IF(Revenue="","",H58+2.0*I10-I9)</f>
        <v/>
      </c>
      <c r="J58" s="133" t="str">
        <f>IF(Revenue="","",I58+2.0*J10-J9)</f>
        <v/>
      </c>
      <c r="K58" s="133" t="str">
        <f>IF(Revenue="","",J58+2.0*K10-K9)</f>
        <v/>
      </c>
      <c r="L58" s="133" t="str">
        <f>IF(Revenue="","",K58+2.0*L10-L9)</f>
        <v/>
      </c>
      <c r="M58" s="133" t="str">
        <f>IF(Revenue="","",L58+2.0*M10-M9)</f>
        <v/>
      </c>
      <c r="N58" s="133" t="str">
        <f>IF(Revenue="","",M58+2.0*N10-N9)</f>
        <v/>
      </c>
    </row>
    <row r="59" ht="14" customHeight="1">
      <c r="B59" s="113" t="inlineStr">
        <is>
          <t>Upside: cumulative net, months 13–24</t>
        </is>
      </c>
      <c r="C59" s="133" t="str">
        <f>IF(Revenue="","",$N$58+2.0*C18-C17)</f>
        <v/>
      </c>
      <c r="D59" s="133" t="str">
        <f>IF(Revenue="","",C59+2.0*D18-D17)</f>
        <v/>
      </c>
      <c r="E59" s="133" t="str">
        <f>IF(Revenue="","",D59+2.0*E18-E17)</f>
        <v/>
      </c>
      <c r="F59" s="133" t="str">
        <f>IF(Revenue="","",E59+2.0*F18-F17)</f>
        <v/>
      </c>
      <c r="G59" s="133" t="str">
        <f>IF(Revenue="","",F59+2.0*G18-G17)</f>
        <v/>
      </c>
      <c r="H59" s="133" t="str">
        <f>IF(Revenue="","",G59+2.0*H18-H17)</f>
        <v/>
      </c>
      <c r="I59" s="133" t="str">
        <f>IF(Revenue="","",H59+2.0*I18-I17)</f>
        <v/>
      </c>
      <c r="J59" s="133" t="str">
        <f>IF(Revenue="","",I59+2.0*J18-J17)</f>
        <v/>
      </c>
      <c r="K59" s="133" t="str">
        <f>IF(Revenue="","",J59+2.0*K18-K17)</f>
        <v/>
      </c>
      <c r="L59" s="133" t="str">
        <f>IF(Revenue="","",K59+2.0*L18-L17)</f>
        <v/>
      </c>
      <c r="M59" s="133" t="str">
        <f>IF(Revenue="","",L59+2.0*M18-M17)</f>
        <v/>
      </c>
      <c r="N59" s="133" t="str">
        <f>IF(Revenue="","",M59+2.0*N18-N17)</f>
        <v/>
      </c>
    </row>
    <row r="60" ht="14" customHeight="1">
      <c r="B60" s="113" t="inlineStr">
        <is>
          <t>Upside: paid back, months 1–12</t>
        </is>
      </c>
      <c r="C60" s="87" t="str">
        <f>IF(Revenue="","",IF(AND(C58&gt;=0,SUM($C$10:C$10)&gt;0),1,0))</f>
        <v/>
      </c>
      <c r="D60" s="87" t="str">
        <f>IF(Revenue="","",IF(AND(D58&gt;=0,SUM($C$10:D$10)&gt;0),1,0))</f>
        <v/>
      </c>
      <c r="E60" s="87" t="str">
        <f>IF(Revenue="","",IF(AND(E58&gt;=0,SUM($C$10:E$10)&gt;0),1,0))</f>
        <v/>
      </c>
      <c r="F60" s="87" t="str">
        <f>IF(Revenue="","",IF(AND(F58&gt;=0,SUM($C$10:F$10)&gt;0),1,0))</f>
        <v/>
      </c>
      <c r="G60" s="87" t="str">
        <f>IF(Revenue="","",IF(AND(G58&gt;=0,SUM($C$10:G$10)&gt;0),1,0))</f>
        <v/>
      </c>
      <c r="H60" s="87" t="str">
        <f>IF(Revenue="","",IF(AND(H58&gt;=0,SUM($C$10:H$10)&gt;0),1,0))</f>
        <v/>
      </c>
      <c r="I60" s="87" t="str">
        <f>IF(Revenue="","",IF(AND(I58&gt;=0,SUM($C$10:I$10)&gt;0),1,0))</f>
        <v/>
      </c>
      <c r="J60" s="87" t="str">
        <f>IF(Revenue="","",IF(AND(J58&gt;=0,SUM($C$10:J$10)&gt;0),1,0))</f>
        <v/>
      </c>
      <c r="K60" s="87" t="str">
        <f>IF(Revenue="","",IF(AND(K58&gt;=0,SUM($C$10:K$10)&gt;0),1,0))</f>
        <v/>
      </c>
      <c r="L60" s="87" t="str">
        <f>IF(Revenue="","",IF(AND(L58&gt;=0,SUM($C$10:L$10)&gt;0),1,0))</f>
        <v/>
      </c>
      <c r="M60" s="87" t="str">
        <f>IF(Revenue="","",IF(AND(M58&gt;=0,SUM($C$10:M$10)&gt;0),1,0))</f>
        <v/>
      </c>
      <c r="N60" s="87" t="str">
        <f>IF(Revenue="","",IF(AND(N58&gt;=0,SUM($C$10:N$10)&gt;0),1,0))</f>
        <v/>
      </c>
    </row>
    <row r="61" ht="14" customHeight="1">
      <c r="B61" s="113" t="inlineStr">
        <is>
          <t>Upside: paid back, months 13–24</t>
        </is>
      </c>
      <c r="C61" s="87" t="str">
        <f>IF(Revenue="","",IF(AND(C59&gt;=0,SUM($C$10:$N$10)+SUM($C$18:C$18)&gt;0),1,0))</f>
        <v/>
      </c>
      <c r="D61" s="87" t="str">
        <f>IF(Revenue="","",IF(AND(D59&gt;=0,SUM($C$10:$N$10)+SUM($C$18:D$18)&gt;0),1,0))</f>
        <v/>
      </c>
      <c r="E61" s="87" t="str">
        <f>IF(Revenue="","",IF(AND(E59&gt;=0,SUM($C$10:$N$10)+SUM($C$18:E$18)&gt;0),1,0))</f>
        <v/>
      </c>
      <c r="F61" s="87" t="str">
        <f>IF(Revenue="","",IF(AND(F59&gt;=0,SUM($C$10:$N$10)+SUM($C$18:F$18)&gt;0),1,0))</f>
        <v/>
      </c>
      <c r="G61" s="87" t="str">
        <f>IF(Revenue="","",IF(AND(G59&gt;=0,SUM($C$10:$N$10)+SUM($C$18:G$18)&gt;0),1,0))</f>
        <v/>
      </c>
      <c r="H61" s="87" t="str">
        <f>IF(Revenue="","",IF(AND(H59&gt;=0,SUM($C$10:$N$10)+SUM($C$18:H$18)&gt;0),1,0))</f>
        <v/>
      </c>
      <c r="I61" s="87" t="str">
        <f>IF(Revenue="","",IF(AND(I59&gt;=0,SUM($C$10:$N$10)+SUM($C$18:I$18)&gt;0),1,0))</f>
        <v/>
      </c>
      <c r="J61" s="87" t="str">
        <f>IF(Revenue="","",IF(AND(J59&gt;=0,SUM($C$10:$N$10)+SUM($C$18:J$18)&gt;0),1,0))</f>
        <v/>
      </c>
      <c r="K61" s="87" t="str">
        <f>IF(Revenue="","",IF(AND(K59&gt;=0,SUM($C$10:$N$10)+SUM($C$18:K$18)&gt;0),1,0))</f>
        <v/>
      </c>
      <c r="L61" s="87" t="str">
        <f>IF(Revenue="","",IF(AND(L59&gt;=0,SUM($C$10:$N$10)+SUM($C$18:L$18)&gt;0),1,0))</f>
        <v/>
      </c>
      <c r="M61" s="87" t="str">
        <f>IF(Revenue="","",IF(AND(M59&gt;=0,SUM($C$10:$N$10)+SUM($C$18:M$18)&gt;0),1,0))</f>
        <v/>
      </c>
      <c r="N61" s="87" t="str">
        <f>IF(Revenue="","",IF(AND(N59&gt;=0,SUM($C$10:$N$10)+SUM($C$18:N$18)&gt;0),1,0))</f>
        <v/>
      </c>
    </row>
    <row r="63" ht="14" customHeight="1">
      <c r="B63" s="113" t="inlineStr">
        <is>
          <t>Late start: value, months 1–12</t>
        </is>
      </c>
      <c r="C63" s="133" t="str">
        <f>IF(Revenue="","",PrizeUsed/12*(1-VolumeHaircutUsed)*MIN(1,MAX(0,(C$7-(ValueStartUsed+6)+1)/RampMonthsUsed)))</f>
        <v/>
      </c>
      <c r="D63" s="133" t="str">
        <f>IF(Revenue="","",PrizeUsed/12*(1-VolumeHaircutUsed)*MIN(1,MAX(0,(D$7-(ValueStartUsed+6)+1)/RampMonthsUsed)))</f>
        <v/>
      </c>
      <c r="E63" s="133" t="str">
        <f>IF(Revenue="","",PrizeUsed/12*(1-VolumeHaircutUsed)*MIN(1,MAX(0,(E$7-(ValueStartUsed+6)+1)/RampMonthsUsed)))</f>
        <v/>
      </c>
      <c r="F63" s="133" t="str">
        <f>IF(Revenue="","",PrizeUsed/12*(1-VolumeHaircutUsed)*MIN(1,MAX(0,(F$7-(ValueStartUsed+6)+1)/RampMonthsUsed)))</f>
        <v/>
      </c>
      <c r="G63" s="133" t="str">
        <f>IF(Revenue="","",PrizeUsed/12*(1-VolumeHaircutUsed)*MIN(1,MAX(0,(G$7-(ValueStartUsed+6)+1)/RampMonthsUsed)))</f>
        <v/>
      </c>
      <c r="H63" s="133" t="str">
        <f>IF(Revenue="","",PrizeUsed/12*(1-VolumeHaircutUsed)*MIN(1,MAX(0,(H$7-(ValueStartUsed+6)+1)/RampMonthsUsed)))</f>
        <v/>
      </c>
      <c r="I63" s="133" t="str">
        <f>IF(Revenue="","",PrizeUsed/12*(1-VolumeHaircutUsed)*MIN(1,MAX(0,(I$7-(ValueStartUsed+6)+1)/RampMonthsUsed)))</f>
        <v/>
      </c>
      <c r="J63" s="133" t="str">
        <f>IF(Revenue="","",PrizeUsed/12*(1-VolumeHaircutUsed)*MIN(1,MAX(0,(J$7-(ValueStartUsed+6)+1)/RampMonthsUsed)))</f>
        <v/>
      </c>
      <c r="K63" s="133" t="str">
        <f>IF(Revenue="","",PrizeUsed/12*(1-VolumeHaircutUsed)*MIN(1,MAX(0,(K$7-(ValueStartUsed+6)+1)/RampMonthsUsed)))</f>
        <v/>
      </c>
      <c r="L63" s="133" t="str">
        <f>IF(Revenue="","",PrizeUsed/12*(1-VolumeHaircutUsed)*MIN(1,MAX(0,(L$7-(ValueStartUsed+6)+1)/RampMonthsUsed)))</f>
        <v/>
      </c>
      <c r="M63" s="133" t="str">
        <f>IF(Revenue="","",PrizeUsed/12*(1-VolumeHaircutUsed)*MIN(1,MAX(0,(M$7-(ValueStartUsed+6)+1)/RampMonthsUsed)))</f>
        <v/>
      </c>
      <c r="N63" s="133" t="str">
        <f>IF(Revenue="","",PrizeUsed/12*(1-VolumeHaircutUsed)*MIN(1,MAX(0,(N$7-(ValueStartUsed+6)+1)/RampMonthsUsed)))</f>
        <v/>
      </c>
    </row>
    <row r="64" ht="14" customHeight="1">
      <c r="B64" s="113" t="inlineStr">
        <is>
          <t>Late start: value, months 13–24</t>
        </is>
      </c>
      <c r="C64" s="133" t="str">
        <f>IF(Revenue="","",PrizeUsed/12*(1-VolumeHaircutUsed)*MIN(1,MAX(0,(C$15-(ValueStartUsed+6)+1)/RampMonthsUsed)))</f>
        <v/>
      </c>
      <c r="D64" s="133" t="str">
        <f>IF(Revenue="","",PrizeUsed/12*(1-VolumeHaircutUsed)*MIN(1,MAX(0,(D$15-(ValueStartUsed+6)+1)/RampMonthsUsed)))</f>
        <v/>
      </c>
      <c r="E64" s="133" t="str">
        <f>IF(Revenue="","",PrizeUsed/12*(1-VolumeHaircutUsed)*MIN(1,MAX(0,(E$15-(ValueStartUsed+6)+1)/RampMonthsUsed)))</f>
        <v/>
      </c>
      <c r="F64" s="133" t="str">
        <f>IF(Revenue="","",PrizeUsed/12*(1-VolumeHaircutUsed)*MIN(1,MAX(0,(F$15-(ValueStartUsed+6)+1)/RampMonthsUsed)))</f>
        <v/>
      </c>
      <c r="G64" s="133" t="str">
        <f>IF(Revenue="","",PrizeUsed/12*(1-VolumeHaircutUsed)*MIN(1,MAX(0,(G$15-(ValueStartUsed+6)+1)/RampMonthsUsed)))</f>
        <v/>
      </c>
      <c r="H64" s="133" t="str">
        <f>IF(Revenue="","",PrizeUsed/12*(1-VolumeHaircutUsed)*MIN(1,MAX(0,(H$15-(ValueStartUsed+6)+1)/RampMonthsUsed)))</f>
        <v/>
      </c>
      <c r="I64" s="133" t="str">
        <f>IF(Revenue="","",PrizeUsed/12*(1-VolumeHaircutUsed)*MIN(1,MAX(0,(I$15-(ValueStartUsed+6)+1)/RampMonthsUsed)))</f>
        <v/>
      </c>
      <c r="J64" s="133" t="str">
        <f>IF(Revenue="","",PrizeUsed/12*(1-VolumeHaircutUsed)*MIN(1,MAX(0,(J$15-(ValueStartUsed+6)+1)/RampMonthsUsed)))</f>
        <v/>
      </c>
      <c r="K64" s="133" t="str">
        <f>IF(Revenue="","",PrizeUsed/12*(1-VolumeHaircutUsed)*MIN(1,MAX(0,(K$15-(ValueStartUsed+6)+1)/RampMonthsUsed)))</f>
        <v/>
      </c>
      <c r="L64" s="133" t="str">
        <f>IF(Revenue="","",PrizeUsed/12*(1-VolumeHaircutUsed)*MIN(1,MAX(0,(L$15-(ValueStartUsed+6)+1)/RampMonthsUsed)))</f>
        <v/>
      </c>
      <c r="M64" s="133" t="str">
        <f>IF(Revenue="","",PrizeUsed/12*(1-VolumeHaircutUsed)*MIN(1,MAX(0,(M$15-(ValueStartUsed+6)+1)/RampMonthsUsed)))</f>
        <v/>
      </c>
      <c r="N64" s="133" t="str">
        <f>IF(Revenue="","",PrizeUsed/12*(1-VolumeHaircutUsed)*MIN(1,MAX(0,(N$15-(ValueStartUsed+6)+1)/RampMonthsUsed)))</f>
        <v/>
      </c>
    </row>
    <row r="65" ht="14" customHeight="1">
      <c r="B65" s="113" t="inlineStr">
        <is>
          <t>Late start: cumulative net, months 1–12</t>
        </is>
      </c>
      <c r="C65" s="133" t="str">
        <f>IF(Revenue="","",0+C63-C9)</f>
        <v/>
      </c>
      <c r="D65" s="133" t="str">
        <f>IF(Revenue="","",C65+D63-D9)</f>
        <v/>
      </c>
      <c r="E65" s="133" t="str">
        <f>IF(Revenue="","",D65+E63-E9)</f>
        <v/>
      </c>
      <c r="F65" s="133" t="str">
        <f>IF(Revenue="","",E65+F63-F9)</f>
        <v/>
      </c>
      <c r="G65" s="133" t="str">
        <f>IF(Revenue="","",F65+G63-G9)</f>
        <v/>
      </c>
      <c r="H65" s="133" t="str">
        <f>IF(Revenue="","",G65+H63-H9)</f>
        <v/>
      </c>
      <c r="I65" s="133" t="str">
        <f>IF(Revenue="","",H65+I63-I9)</f>
        <v/>
      </c>
      <c r="J65" s="133" t="str">
        <f>IF(Revenue="","",I65+J63-J9)</f>
        <v/>
      </c>
      <c r="K65" s="133" t="str">
        <f>IF(Revenue="","",J65+K63-K9)</f>
        <v/>
      </c>
      <c r="L65" s="133" t="str">
        <f>IF(Revenue="","",K65+L63-L9)</f>
        <v/>
      </c>
      <c r="M65" s="133" t="str">
        <f>IF(Revenue="","",L65+M63-M9)</f>
        <v/>
      </c>
      <c r="N65" s="133" t="str">
        <f>IF(Revenue="","",M65+N63-N9)</f>
        <v/>
      </c>
    </row>
    <row r="66" ht="14" customHeight="1">
      <c r="B66" s="113" t="inlineStr">
        <is>
          <t>Late start: cumulative net, months 13–24</t>
        </is>
      </c>
      <c r="C66" s="133" t="str">
        <f>IF(Revenue="","",$N$65+C64-C17)</f>
        <v/>
      </c>
      <c r="D66" s="133" t="str">
        <f>IF(Revenue="","",C66+D64-D17)</f>
        <v/>
      </c>
      <c r="E66" s="133" t="str">
        <f>IF(Revenue="","",D66+E64-E17)</f>
        <v/>
      </c>
      <c r="F66" s="133" t="str">
        <f>IF(Revenue="","",E66+F64-F17)</f>
        <v/>
      </c>
      <c r="G66" s="133" t="str">
        <f>IF(Revenue="","",F66+G64-G17)</f>
        <v/>
      </c>
      <c r="H66" s="133" t="str">
        <f>IF(Revenue="","",G66+H64-H17)</f>
        <v/>
      </c>
      <c r="I66" s="133" t="str">
        <f>IF(Revenue="","",H66+I64-I17)</f>
        <v/>
      </c>
      <c r="J66" s="133" t="str">
        <f>IF(Revenue="","",I66+J64-J17)</f>
        <v/>
      </c>
      <c r="K66" s="133" t="str">
        <f>IF(Revenue="","",J66+K64-K17)</f>
        <v/>
      </c>
      <c r="L66" s="133" t="str">
        <f>IF(Revenue="","",K66+L64-L17)</f>
        <v/>
      </c>
      <c r="M66" s="133" t="str">
        <f>IF(Revenue="","",L66+M64-M17)</f>
        <v/>
      </c>
      <c r="N66" s="133" t="str">
        <f>IF(Revenue="","",M66+N64-N17)</f>
        <v/>
      </c>
    </row>
    <row r="67" ht="14" customHeight="1">
      <c r="B67" s="113" t="inlineStr">
        <is>
          <t>Late start: paid back, months 1–12</t>
        </is>
      </c>
      <c r="C67" s="134" t="str">
        <f>IF(Revenue="","",IF(AND(C65&gt;=0,SUM($C$63:C$63)&gt;0),1,0))</f>
        <v/>
      </c>
      <c r="D67" s="134" t="str">
        <f>IF(Revenue="","",IF(AND(D65&gt;=0,SUM($C$63:D$63)&gt;0),1,0))</f>
        <v/>
      </c>
      <c r="E67" s="134" t="str">
        <f>IF(Revenue="","",IF(AND(E65&gt;=0,SUM($C$63:E$63)&gt;0),1,0))</f>
        <v/>
      </c>
      <c r="F67" s="134" t="str">
        <f>IF(Revenue="","",IF(AND(F65&gt;=0,SUM($C$63:F$63)&gt;0),1,0))</f>
        <v/>
      </c>
      <c r="G67" s="134" t="str">
        <f>IF(Revenue="","",IF(AND(G65&gt;=0,SUM($C$63:G$63)&gt;0),1,0))</f>
        <v/>
      </c>
      <c r="H67" s="134" t="str">
        <f>IF(Revenue="","",IF(AND(H65&gt;=0,SUM($C$63:H$63)&gt;0),1,0))</f>
        <v/>
      </c>
      <c r="I67" s="134" t="str">
        <f>IF(Revenue="","",IF(AND(I65&gt;=0,SUM($C$63:I$63)&gt;0),1,0))</f>
        <v/>
      </c>
      <c r="J67" s="134" t="str">
        <f>IF(Revenue="","",IF(AND(J65&gt;=0,SUM($C$63:J$63)&gt;0),1,0))</f>
        <v/>
      </c>
      <c r="K67" s="134" t="str">
        <f>IF(Revenue="","",IF(AND(K65&gt;=0,SUM($C$63:K$63)&gt;0),1,0))</f>
        <v/>
      </c>
      <c r="L67" s="134" t="str">
        <f>IF(Revenue="","",IF(AND(L65&gt;=0,SUM($C$63:L$63)&gt;0),1,0))</f>
        <v/>
      </c>
      <c r="M67" s="134" t="str">
        <f>IF(Revenue="","",IF(AND(M65&gt;=0,SUM($C$63:M$63)&gt;0),1,0))</f>
        <v/>
      </c>
      <c r="N67" s="134" t="str">
        <f>IF(Revenue="","",IF(AND(N65&gt;=0,SUM($C$63:N$63)&gt;0),1,0))</f>
        <v/>
      </c>
    </row>
    <row r="68" ht="14" customHeight="1">
      <c r="B68" s="113" t="inlineStr">
        <is>
          <t>Late start: paid back, months 13–24</t>
        </is>
      </c>
      <c r="C68" s="134" t="str">
        <f>IF(Revenue="","",IF(AND(C66&gt;=0,SUM($C$63:$N$63)+SUM($C$64:C$64)&gt;0),1,0))</f>
        <v/>
      </c>
      <c r="D68" s="134" t="str">
        <f>IF(Revenue="","",IF(AND(D66&gt;=0,SUM($C$63:$N$63)+SUM($C$64:D$64)&gt;0),1,0))</f>
        <v/>
      </c>
      <c r="E68" s="134" t="str">
        <f>IF(Revenue="","",IF(AND(E66&gt;=0,SUM($C$63:$N$63)+SUM($C$64:E$64)&gt;0),1,0))</f>
        <v/>
      </c>
      <c r="F68" s="134" t="str">
        <f>IF(Revenue="","",IF(AND(F66&gt;=0,SUM($C$63:$N$63)+SUM($C$64:F$64)&gt;0),1,0))</f>
        <v/>
      </c>
      <c r="G68" s="134" t="str">
        <f>IF(Revenue="","",IF(AND(G66&gt;=0,SUM($C$63:$N$63)+SUM($C$64:G$64)&gt;0),1,0))</f>
        <v/>
      </c>
      <c r="H68" s="134" t="str">
        <f>IF(Revenue="","",IF(AND(H66&gt;=0,SUM($C$63:$N$63)+SUM($C$64:H$64)&gt;0),1,0))</f>
        <v/>
      </c>
      <c r="I68" s="134" t="str">
        <f>IF(Revenue="","",IF(AND(I66&gt;=0,SUM($C$63:$N$63)+SUM($C$64:I$64)&gt;0),1,0))</f>
        <v/>
      </c>
      <c r="J68" s="134" t="str">
        <f>IF(Revenue="","",IF(AND(J66&gt;=0,SUM($C$63:$N$63)+SUM($C$64:J$64)&gt;0),1,0))</f>
        <v/>
      </c>
      <c r="K68" s="134" t="str">
        <f>IF(Revenue="","",IF(AND(K66&gt;=0,SUM($C$63:$N$63)+SUM($C$64:K$64)&gt;0),1,0))</f>
        <v/>
      </c>
      <c r="L68" s="134" t="str">
        <f>IF(Revenue="","",IF(AND(L66&gt;=0,SUM($C$63:$N$63)+SUM($C$64:L$64)&gt;0),1,0))</f>
        <v/>
      </c>
      <c r="M68" s="134" t="str">
        <f>IF(Revenue="","",IF(AND(M66&gt;=0,SUM($C$63:$N$63)+SUM($C$64:M$64)&gt;0),1,0))</f>
        <v/>
      </c>
      <c r="N68" s="134" t="str">
        <f>IF(Revenue="","",IF(AND(N66&gt;=0,SUM($C$63:$N$63)+SUM($C$64:N$64)&gt;0),1,0))</f>
        <v/>
      </c>
    </row>
    <row r="80" ht="14" customHeight="1">
      <c r="B80" s="113" t="inlineStr">
        <is>
          <t>Month</t>
        </is>
      </c>
      <c r="C80" s="85" t="inlineStr">
        <is>
          <t>Cumulative net</t>
        </is>
      </c>
      <c r="D80" s="85" t="inlineStr">
        <is>
          <t>Cumulative value</t>
        </is>
      </c>
      <c r="E80" s="85" t="inlineStr">
        <is>
          <t>Cumulative spend</t>
        </is>
      </c>
    </row>
    <row r="81">
      <c r="B81" s="110" t="n">
        <v>1</v>
      </c>
      <c r="C81" s="135">
        <f>IF(Revenue="",0,C12)</f>
        <v>0</v>
      </c>
      <c r="D81" s="135">
        <f>IF(Revenue="",0,SUM($C$10:C$10))</f>
        <v>0</v>
      </c>
      <c r="E81" s="135">
        <f>IF(Revenue="",0,SUM($C$9:C$9))</f>
        <v>0</v>
      </c>
    </row>
    <row r="82">
      <c r="B82" s="110" t="n">
        <v>2</v>
      </c>
      <c r="C82" s="135">
        <f>IF(Revenue="",0,D12)</f>
        <v>0</v>
      </c>
      <c r="D82" s="135">
        <f>IF(Revenue="",0,SUM($C$10:D$10))</f>
        <v>0</v>
      </c>
      <c r="E82" s="135">
        <f>IF(Revenue="",0,SUM($C$9:D$9))</f>
        <v>0</v>
      </c>
    </row>
    <row r="83">
      <c r="B83" s="110" t="n">
        <v>3</v>
      </c>
      <c r="C83" s="135">
        <f>IF(Revenue="",0,E12)</f>
        <v>0</v>
      </c>
      <c r="D83" s="135">
        <f>IF(Revenue="",0,SUM($C$10:E$10))</f>
        <v>0</v>
      </c>
      <c r="E83" s="135">
        <f>IF(Revenue="",0,SUM($C$9:E$9))</f>
        <v>0</v>
      </c>
    </row>
    <row r="84">
      <c r="B84" s="110" t="n">
        <v>4</v>
      </c>
      <c r="C84" s="135">
        <f>IF(Revenue="",0,F12)</f>
        <v>0</v>
      </c>
      <c r="D84" s="135">
        <f>IF(Revenue="",0,SUM($C$10:F$10))</f>
        <v>0</v>
      </c>
      <c r="E84" s="135">
        <f>IF(Revenue="",0,SUM($C$9:F$9))</f>
        <v>0</v>
      </c>
    </row>
    <row r="85">
      <c r="B85" s="110" t="n">
        <v>5</v>
      </c>
      <c r="C85" s="135">
        <f>IF(Revenue="",0,G12)</f>
        <v>0</v>
      </c>
      <c r="D85" s="135">
        <f>IF(Revenue="",0,SUM($C$10:G$10))</f>
        <v>0</v>
      </c>
      <c r="E85" s="135">
        <f>IF(Revenue="",0,SUM($C$9:G$9))</f>
        <v>0</v>
      </c>
    </row>
    <row r="86">
      <c r="B86" s="110" t="n">
        <v>6</v>
      </c>
      <c r="C86" s="135">
        <f>IF(Revenue="",0,H12)</f>
        <v>0</v>
      </c>
      <c r="D86" s="135">
        <f>IF(Revenue="",0,SUM($C$10:H$10))</f>
        <v>0</v>
      </c>
      <c r="E86" s="135">
        <f>IF(Revenue="",0,SUM($C$9:H$9))</f>
        <v>0</v>
      </c>
    </row>
    <row r="87">
      <c r="B87" s="110" t="n">
        <v>7</v>
      </c>
      <c r="C87" s="135">
        <f>IF(Revenue="",0,I12)</f>
        <v>0</v>
      </c>
      <c r="D87" s="135">
        <f>IF(Revenue="",0,SUM($C$10:I$10))</f>
        <v>0</v>
      </c>
      <c r="E87" s="135">
        <f>IF(Revenue="",0,SUM($C$9:I$9))</f>
        <v>0</v>
      </c>
    </row>
    <row r="88">
      <c r="B88" s="110" t="n">
        <v>8</v>
      </c>
      <c r="C88" s="135">
        <f>IF(Revenue="",0,J12)</f>
        <v>0</v>
      </c>
      <c r="D88" s="135">
        <f>IF(Revenue="",0,SUM($C$10:J$10))</f>
        <v>0</v>
      </c>
      <c r="E88" s="135">
        <f>IF(Revenue="",0,SUM($C$9:J$9))</f>
        <v>0</v>
      </c>
    </row>
    <row r="89">
      <c r="B89" s="110" t="n">
        <v>9</v>
      </c>
      <c r="C89" s="135">
        <f>IF(Revenue="",0,K12)</f>
        <v>0</v>
      </c>
      <c r="D89" s="135">
        <f>IF(Revenue="",0,SUM($C$10:K$10))</f>
        <v>0</v>
      </c>
      <c r="E89" s="135">
        <f>IF(Revenue="",0,SUM($C$9:K$9))</f>
        <v>0</v>
      </c>
    </row>
    <row r="90">
      <c r="B90" s="110" t="n">
        <v>10</v>
      </c>
      <c r="C90" s="135">
        <f>IF(Revenue="",0,L12)</f>
        <v>0</v>
      </c>
      <c r="D90" s="135">
        <f>IF(Revenue="",0,SUM($C$10:L$10))</f>
        <v>0</v>
      </c>
      <c r="E90" s="135">
        <f>IF(Revenue="",0,SUM($C$9:L$9))</f>
        <v>0</v>
      </c>
    </row>
    <row r="91">
      <c r="B91" s="110" t="n">
        <v>11</v>
      </c>
      <c r="C91" s="135">
        <f>IF(Revenue="",0,M12)</f>
        <v>0</v>
      </c>
      <c r="D91" s="135">
        <f>IF(Revenue="",0,SUM($C$10:M$10))</f>
        <v>0</v>
      </c>
      <c r="E91" s="135">
        <f>IF(Revenue="",0,SUM($C$9:M$9))</f>
        <v>0</v>
      </c>
    </row>
    <row r="92">
      <c r="B92" s="110" t="n">
        <v>12</v>
      </c>
      <c r="C92" s="135">
        <f>IF(Revenue="",0,N12)</f>
        <v>0</v>
      </c>
      <c r="D92" s="135">
        <f>IF(Revenue="",0,SUM($C$10:N$10))</f>
        <v>0</v>
      </c>
      <c r="E92" s="135">
        <f>IF(Revenue="",0,SUM($C$9:N$9))</f>
        <v>0</v>
      </c>
    </row>
    <row r="93">
      <c r="B93" s="110" t="n">
        <v>13</v>
      </c>
      <c r="C93" s="135">
        <f>IF(Revenue="",0,C20)</f>
        <v>0</v>
      </c>
      <c r="D93" s="135">
        <f>IF(Revenue="",0,SUM($C$10:$N$10)+SUM($C$18:C$18))</f>
        <v>0</v>
      </c>
      <c r="E93" s="135">
        <f>IF(Revenue="",0,SUM($C$9:$N$9)+SUM($C$17:C$17))</f>
        <v>0</v>
      </c>
    </row>
    <row r="94">
      <c r="B94" s="110" t="n">
        <v>14</v>
      </c>
      <c r="C94" s="135">
        <f>IF(Revenue="",0,D20)</f>
        <v>0</v>
      </c>
      <c r="D94" s="135">
        <f>IF(Revenue="",0,SUM($C$10:$N$10)+SUM($C$18:D$18))</f>
        <v>0</v>
      </c>
      <c r="E94" s="135">
        <f>IF(Revenue="",0,SUM($C$9:$N$9)+SUM($C$17:D$17))</f>
        <v>0</v>
      </c>
    </row>
    <row r="95">
      <c r="B95" s="110" t="n">
        <v>15</v>
      </c>
      <c r="C95" s="135">
        <f>IF(Revenue="",0,E20)</f>
        <v>0</v>
      </c>
      <c r="D95" s="135">
        <f>IF(Revenue="",0,SUM($C$10:$N$10)+SUM($C$18:E$18))</f>
        <v>0</v>
      </c>
      <c r="E95" s="135">
        <f>IF(Revenue="",0,SUM($C$9:$N$9)+SUM($C$17:E$17))</f>
        <v>0</v>
      </c>
    </row>
    <row r="96">
      <c r="B96" s="110" t="n">
        <v>16</v>
      </c>
      <c r="C96" s="135">
        <f>IF(Revenue="",0,F20)</f>
        <v>0</v>
      </c>
      <c r="D96" s="135">
        <f>IF(Revenue="",0,SUM($C$10:$N$10)+SUM($C$18:F$18))</f>
        <v>0</v>
      </c>
      <c r="E96" s="135">
        <f>IF(Revenue="",0,SUM($C$9:$N$9)+SUM($C$17:F$17))</f>
        <v>0</v>
      </c>
    </row>
    <row r="97">
      <c r="B97" s="110" t="n">
        <v>17</v>
      </c>
      <c r="C97" s="135">
        <f>IF(Revenue="",0,G20)</f>
        <v>0</v>
      </c>
      <c r="D97" s="135">
        <f>IF(Revenue="",0,SUM($C$10:$N$10)+SUM($C$18:G$18))</f>
        <v>0</v>
      </c>
      <c r="E97" s="135">
        <f>IF(Revenue="",0,SUM($C$9:$N$9)+SUM($C$17:G$17))</f>
        <v>0</v>
      </c>
    </row>
    <row r="98">
      <c r="B98" s="110" t="n">
        <v>18</v>
      </c>
      <c r="C98" s="135">
        <f>IF(Revenue="",0,H20)</f>
        <v>0</v>
      </c>
      <c r="D98" s="135">
        <f>IF(Revenue="",0,SUM($C$10:$N$10)+SUM($C$18:H$18))</f>
        <v>0</v>
      </c>
      <c r="E98" s="135">
        <f>IF(Revenue="",0,SUM($C$9:$N$9)+SUM($C$17:H$17))</f>
        <v>0</v>
      </c>
    </row>
    <row r="99">
      <c r="B99" s="110" t="n">
        <v>19</v>
      </c>
      <c r="C99" s="135">
        <f>IF(Revenue="",0,I20)</f>
        <v>0</v>
      </c>
      <c r="D99" s="135">
        <f>IF(Revenue="",0,SUM($C$10:$N$10)+SUM($C$18:I$18))</f>
        <v>0</v>
      </c>
      <c r="E99" s="135">
        <f>IF(Revenue="",0,SUM($C$9:$N$9)+SUM($C$17:I$17))</f>
        <v>0</v>
      </c>
    </row>
    <row r="100">
      <c r="B100" s="110" t="n">
        <v>20</v>
      </c>
      <c r="C100" s="135">
        <f>IF(Revenue="",0,J20)</f>
        <v>0</v>
      </c>
      <c r="D100" s="135">
        <f>IF(Revenue="",0,SUM($C$10:$N$10)+SUM($C$18:J$18))</f>
        <v>0</v>
      </c>
      <c r="E100" s="135">
        <f>IF(Revenue="",0,SUM($C$9:$N$9)+SUM($C$17:J$17))</f>
        <v>0</v>
      </c>
    </row>
    <row r="101">
      <c r="B101" s="110" t="n">
        <v>21</v>
      </c>
      <c r="C101" s="135">
        <f>IF(Revenue="",0,K20)</f>
        <v>0</v>
      </c>
      <c r="D101" s="135">
        <f>IF(Revenue="",0,SUM($C$10:$N$10)+SUM($C$18:K$18))</f>
        <v>0</v>
      </c>
      <c r="E101" s="135">
        <f>IF(Revenue="",0,SUM($C$9:$N$9)+SUM($C$17:K$17))</f>
        <v>0</v>
      </c>
    </row>
    <row r="102">
      <c r="B102" s="110" t="n">
        <v>22</v>
      </c>
      <c r="C102" s="135">
        <f>IF(Revenue="",0,L20)</f>
        <v>0</v>
      </c>
      <c r="D102" s="135">
        <f>IF(Revenue="",0,SUM($C$10:$N$10)+SUM($C$18:L$18))</f>
        <v>0</v>
      </c>
      <c r="E102" s="135">
        <f>IF(Revenue="",0,SUM($C$9:$N$9)+SUM($C$17:L$17))</f>
        <v>0</v>
      </c>
    </row>
    <row r="103">
      <c r="B103" s="110" t="n">
        <v>23</v>
      </c>
      <c r="C103" s="135">
        <f>IF(Revenue="",0,M20)</f>
        <v>0</v>
      </c>
      <c r="D103" s="135">
        <f>IF(Revenue="",0,SUM($C$10:$N$10)+SUM($C$18:M$18))</f>
        <v>0</v>
      </c>
      <c r="E103" s="135">
        <f>IF(Revenue="",0,SUM($C$9:$N$9)+SUM($C$17:M$17))</f>
        <v>0</v>
      </c>
    </row>
    <row r="104">
      <c r="B104" s="110" t="n">
        <v>24</v>
      </c>
      <c r="C104" s="135">
        <f>IF(Revenue="",0,N20)</f>
        <v>0</v>
      </c>
      <c r="D104" s="135">
        <f>IF(Revenue="",0,SUM($C$10:$N$10)+SUM($C$18:N$18))</f>
        <v>0</v>
      </c>
      <c r="E104" s="135">
        <f>IF(Revenue="",0,SUM($C$9:$N$9)+SUM($C$17:N$17))</f>
        <v>0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3">
    <mergeCell ref="C24:D24"/>
    <mergeCell ref="C30:D30"/>
    <mergeCell ref="E24:I24"/>
    <mergeCell ref="B6:N6"/>
    <mergeCell ref="C26:D26"/>
    <mergeCell ref="C29:D29"/>
    <mergeCell ref="E29:I29"/>
    <mergeCell ref="C25:D25"/>
    <mergeCell ref="E28:I28"/>
    <mergeCell ref="B23:I23"/>
    <mergeCell ref="C31:D31"/>
    <mergeCell ref="E31:I31"/>
    <mergeCell ref="J30:N32"/>
    <mergeCell ref="E30:I30"/>
    <mergeCell ref="M25:N25"/>
    <mergeCell ref="C27:D27"/>
    <mergeCell ref="M28:N28"/>
    <mergeCell ref="B52:N52"/>
    <mergeCell ref="M27:N27"/>
    <mergeCell ref="B48:N48"/>
    <mergeCell ref="B2:N2"/>
    <mergeCell ref="E26:I26"/>
    <mergeCell ref="M26:N26"/>
    <mergeCell ref="J29:L29"/>
    <mergeCell ref="M24:N24"/>
    <mergeCell ref="C32:D32"/>
    <mergeCell ref="M29:N29"/>
    <mergeCell ref="B1:N1"/>
    <mergeCell ref="E32:I32"/>
    <mergeCell ref="E25:I25"/>
    <mergeCell ref="C28:D28"/>
    <mergeCell ref="J23:N23"/>
    <mergeCell ref="B34:N34"/>
  </mergeCells>
  <conditionalFormatting sqref="C12:N12">
    <cfRule type="expression" priority="1" dxfId="3" stopIfTrue="0">
      <formula>AND(ISNUMBER(C12),C12&lt;0)</formula>
    </cfRule>
  </conditionalFormatting>
  <conditionalFormatting sqref="C20:N20">
    <cfRule type="expression" priority="2" dxfId="3" stopIfTrue="0">
      <formula>AND(ISNUMBER(C20),C20&lt;0)</formula>
    </cfRule>
  </conditionalFormatting>
  <conditionalFormatting sqref="E24:I24">
    <cfRule type="expression" priority="3" dxfId="3" stopIfTrue="0">
      <formula>OR(AND(ISNUMBER($C$24),$C$24&gt;12),$C$24="beyond 24 months")</formula>
    </cfRule>
  </conditionalFormatting>
  <hyperlinks>
    <hyperlink ref="B4" location="'Start Here'!A1" display="← Start Here"/>
    <hyperlink ref="C4" location="'3 Investment'!A1" display="← Previous"/>
    <hyperlink ref="D4" location="'4 Canvas'!A1" display="Next →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091C32"/>
    <outlinePr summaryBelow="1" summaryRight="1"/>
    <pageSetUpPr fitToPage="1"/>
  </sheetPr>
  <dimension ref="A1:Q51"/>
  <sheetViews>
    <sheetView showGridLines="0" zoomScale="10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4" customWidth="1" min="1" max="1"/>
    <col width="8.4" customWidth="1" min="2" max="2"/>
    <col width="8.4" customWidth="1" min="3" max="3"/>
    <col width="8.4" customWidth="1" min="4" max="4"/>
    <col width="8.4" customWidth="1" min="5" max="5"/>
    <col width="8.4" customWidth="1" min="6" max="6"/>
    <col width="8.4" customWidth="1" min="7" max="7"/>
    <col width="8.4" customWidth="1" min="8" max="8"/>
    <col width="8.4" customWidth="1" min="9" max="9"/>
    <col width="8.4" customWidth="1" min="10" max="10"/>
    <col width="8.4" customWidth="1" min="11" max="11"/>
    <col width="8.4" customWidth="1" min="12" max="12"/>
    <col width="8.4" customWidth="1" min="13" max="13"/>
    <col width="8.4" customWidth="1" min="14" max="14"/>
    <col width="8.4" customWidth="1" min="15" max="15"/>
    <col width="8.4" customWidth="1" min="16" max="16"/>
    <col width="2.4" customWidth="1" min="17" max="17"/>
  </cols>
  <sheetData>
    <row r="1" ht="30" customHeight="1">
      <c r="A1" s="1" t="n"/>
      <c r="B1" s="2" t="inlineStr">
        <is>
          <t>Step 4 — The Business Case Canvas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 ht="20" customHeight="1">
      <c r="A2" s="1" t="n"/>
      <c r="B2" s="3" t="inlineStr">
        <is>
          <t>The one-pager. Everything in the frame below prints on one landscape page (File → Print → Active sheet). Edit the wording in the panel under it.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</row>
    <row r="4" ht="16" customHeight="1">
      <c r="B4" s="5" t="inlineStr">
        <is>
          <t>← Start Here</t>
        </is>
      </c>
      <c r="D4" s="5" t="inlineStr">
        <is>
          <t>← Previous</t>
        </is>
      </c>
      <c r="F4" s="5" t="inlineStr">
        <is>
          <t>Next →</t>
        </is>
      </c>
    </row>
    <row r="5" ht="8" customHeight="1"/>
    <row r="6" ht="28" customHeight="1">
      <c r="B6" s="136" t="str">
        <f>IF(Company="","Business Case Canvas",Company&amp;" — Business Case Canvas")</f>
        <v>Business Case Canvas</v>
      </c>
      <c r="L6" s="137" t="inlineStr">
        <is>
          <t>Prepared for</t>
        </is>
      </c>
      <c r="N6" s="138" t="n"/>
      <c r="O6" s="139" t="n"/>
      <c r="P6" s="139" t="n"/>
    </row>
    <row r="7" ht="13" customHeight="1">
      <c r="B7" s="140" t="str">
        <f>IF(InitiativeName="","The four questions: How much? · How certain? · Who owns it? · What if we do nothing?",InitiativeName&amp;"  ·  How much? · How certain? · Who owns it? · What if we do nothing?")</f>
        <v>The four questions: How much? · How certain? · Who owns it? · What if we do nothing?</v>
      </c>
      <c r="C7" s="141" t="n"/>
      <c r="D7" s="141" t="n"/>
      <c r="E7" s="141" t="n"/>
      <c r="F7" s="141" t="n"/>
      <c r="G7" s="141" t="n"/>
      <c r="H7" s="141" t="n"/>
      <c r="I7" s="141" t="n"/>
      <c r="J7" s="141" t="n"/>
      <c r="K7" s="141" t="n"/>
      <c r="L7" s="141" t="n"/>
      <c r="M7" s="141" t="n"/>
      <c r="N7" s="141" t="n"/>
      <c r="O7" s="141" t="n"/>
      <c r="P7" s="141" t="n"/>
    </row>
    <row r="8" ht="4" customHeight="1"/>
    <row r="9" ht="26" customHeight="1">
      <c r="B9" s="142" t="str">
        <f>IF(Revenue="","—",IF(ABS((PrizeUsed))&gt;=1000000,TEXT((PrizeUsed)/1000000,"$0.0")&amp;"M",TEXT((PrizeUsed)/1000,"$#,##0")&amp;"K"))</f>
        <v>—</v>
      </c>
      <c r="C9" s="143" t="n"/>
      <c r="D9" s="143" t="n"/>
      <c r="E9" s="142" t="str">
        <f>IF(Revenue="","—",IF(ABS((LadderTotal))&gt;=1000000,TEXT((LadderTotal)/1000000,"$0.0")&amp;"M",TEXT((LadderTotal)/1000,"$#,##0")&amp;"K"))</f>
        <v>—</v>
      </c>
      <c r="F9" s="143" t="n"/>
      <c r="G9" s="143" t="n"/>
      <c r="H9" s="142" t="str">
        <f>IF(Revenue="","—",IF(ISNUMBER(PaybackMonth),"M"&amp;PaybackMonth,"&gt;24"))</f>
        <v>—</v>
      </c>
      <c r="I9" s="143" t="n"/>
      <c r="J9" s="143" t="n"/>
      <c r="K9" s="142" t="str">
        <f>IF(Revenue="","—",IF(ABS((Y1Net))&gt;=1000000,TEXT((Y1Net)/1000000,"$0.0")&amp;"M",TEXT((Y1Net)/1000,"$#,##0")&amp;"K"))</f>
        <v>—</v>
      </c>
      <c r="L9" s="143" t="n"/>
      <c r="M9" s="143" t="n"/>
      <c r="N9" s="142" t="str">
        <f>IF(Revenue="","—",IF(ABS((MonthlyDelayCost))&gt;=1000000,TEXT((MonthlyDelayCost)/1000000,"$0.0")&amp;"M",TEXT((MonthlyDelayCost)/1000,"$#,##0")&amp;"K"))</f>
        <v>—</v>
      </c>
      <c r="O9" s="143" t="n"/>
      <c r="P9" s="143" t="n"/>
    </row>
    <row r="10" ht="12" customHeight="1">
      <c r="B10" s="144" t="str">
        <f>IF(Revenue="","PLANNING PRIZE · per year","PLANNING PRIZE · "&amp;IF(PrizeBasisUsed="My levers, bottom-up","bottom-up · "&amp;LeverCount&amp;" levers","1% of sales"))</f>
        <v>PLANNING PRIZE · per year</v>
      </c>
      <c r="C10" s="23" t="n"/>
      <c r="D10" s="23" t="n"/>
      <c r="E10" s="144" t="str">
        <f>"ONE-TIME"&amp;IF(N(PlanAdopt)&gt;0," · incl. adoption","")&amp;IF(N(PlanSustain)&gt;0," + "&amp;TEXT(PlanSustain/1000,"$0.0")&amp;"K/mo","")</f>
        <v>ONE-TIME</v>
      </c>
      <c r="F10" s="23" t="n"/>
      <c r="G10" s="23" t="n"/>
      <c r="H10" s="144" t="str">
        <f>IF(OR(Revenue="",NOT(ISNUMBER(PaybackMonth))),"PAYBACK MONTH","PAYBACK · "&amp;TEXT(EDATE(DATE(StartYearUsed,StartMonthUsed,1),PaybackMonth-1),"mmm yyyy"))</f>
        <v>PAYBACK MONTH</v>
      </c>
      <c r="I10" s="23" t="n"/>
      <c r="J10" s="23" t="n"/>
      <c r="K10" s="144" t="str">
        <f>"YEAR-ONE NET · value − spend"</f>
        <v>YEAR-ONE NET · value − spend</v>
      </c>
      <c r="L10" s="23" t="n"/>
      <c r="M10" s="23" t="n"/>
      <c r="N10" s="144" t="str">
        <f>"COST OF DELAY · per month"</f>
        <v>COST OF DELAY · per month</v>
      </c>
      <c r="O10" s="23" t="n"/>
      <c r="P10" s="23" t="n"/>
    </row>
    <row r="11" ht="5" customHeight="1"/>
    <row r="12" ht="16" customHeight="1">
      <c r="B12" s="145" t="inlineStr">
        <is>
          <t>1 · OPPORTUNITY · Q1</t>
        </is>
      </c>
      <c r="C12" s="146" t="n"/>
      <c r="D12" s="146" t="n"/>
      <c r="E12" s="146" t="n"/>
      <c r="F12" s="146" t="n"/>
      <c r="G12" s="145" t="inlineStr">
        <is>
          <t>2 · FINANCIAL IMPACT · Q1 + Q4</t>
        </is>
      </c>
      <c r="H12" s="146" t="n"/>
      <c r="I12" s="146" t="n"/>
      <c r="J12" s="146" t="n"/>
      <c r="K12" s="146" t="n"/>
      <c r="L12" s="145" t="inlineStr">
        <is>
          <t>3 · INVESTMENT &amp; PHASING · Q1 + Q2</t>
        </is>
      </c>
      <c r="M12" s="146" t="n"/>
      <c r="N12" s="146" t="n"/>
      <c r="O12" s="146" t="n"/>
      <c r="P12" s="146" t="n"/>
    </row>
    <row r="13" ht="16" customHeight="1">
      <c r="B13" s="147" t="inlineStr">
        <is>
          <t>Where value leaks today — your top levers, one paragraph.</t>
        </is>
      </c>
      <c r="C13" s="143" t="n"/>
      <c r="D13" s="143" t="n"/>
      <c r="E13" s="143" t="n"/>
      <c r="F13" s="143" t="n"/>
      <c r="G13" s="147" t="inlineStr">
        <is>
          <t>The sized prize, tied to a baseline your CFO signs.</t>
        </is>
      </c>
      <c r="H13" s="143" t="n"/>
      <c r="I13" s="143" t="n"/>
      <c r="J13" s="143" t="n"/>
      <c r="K13" s="143" t="n"/>
      <c r="L13" s="147" t="inlineStr">
        <is>
          <t>Diagnostic → sprint → build (+ adoption), one number per gate.</t>
        </is>
      </c>
      <c r="M13" s="143" t="n"/>
      <c r="N13" s="143" t="n"/>
      <c r="O13" s="143" t="n"/>
      <c r="P13" s="143" t="n"/>
    </row>
    <row r="14" ht="80" customHeight="1">
      <c r="B14" s="148" t="str">
        <f>IF($J$41="",$D$41,$J$41)</f>
        <v>[Your paragraph: where value leaks today — waterfall, churn, cost pass-through.]</v>
      </c>
      <c r="C14" s="149" t="n"/>
      <c r="D14" s="149" t="n"/>
      <c r="E14" s="149" t="n"/>
      <c r="F14" s="149" t="n"/>
      <c r="G14" s="148" t="str">
        <f>IF($J$42="",$D$42,$J$42)</f>
        <v>← Enter your revenue on tab 1</v>
      </c>
      <c r="H14" s="149" t="n"/>
      <c r="I14" s="149" t="n"/>
      <c r="J14" s="149" t="n"/>
      <c r="K14" s="149" t="n"/>
      <c r="L14" s="148" t="str">
        <f>IF($J$43="",$D$43,$J$43)</f>
        <v>← Enter your revenue on tab 1</v>
      </c>
      <c r="M14" s="149" t="n"/>
      <c r="N14" s="149" t="n"/>
      <c r="O14" s="149" t="n"/>
      <c r="P14" s="149" t="n"/>
    </row>
    <row r="15" ht="5" customHeight="1"/>
    <row r="16" ht="16" customHeight="1">
      <c r="B16" s="145" t="inlineStr">
        <is>
          <t>4 · RISK &amp; CERTAINTY · Q2</t>
        </is>
      </c>
      <c r="C16" s="146" t="n"/>
      <c r="D16" s="146" t="n"/>
      <c r="E16" s="146" t="n"/>
      <c r="F16" s="146" t="n"/>
      <c r="G16" s="145" t="inlineStr">
        <is>
          <t>5 · OWNER, SPONSOR &amp; CO-OWNERS · Q3</t>
        </is>
      </c>
      <c r="H16" s="146" t="n"/>
      <c r="I16" s="146" t="n"/>
      <c r="J16" s="146" t="n"/>
      <c r="K16" s="146" t="n"/>
      <c r="L16" s="145" t="inlineStr">
        <is>
          <t>6 · TIMELINE · Q3</t>
        </is>
      </c>
      <c r="M16" s="146" t="n"/>
      <c r="N16" s="146" t="n"/>
      <c r="O16" s="146" t="n"/>
      <c r="P16" s="146" t="n"/>
    </row>
    <row r="17" ht="16" customHeight="1">
      <c r="B17" s="147" t="inlineStr">
        <is>
          <t>What could miss, and the gates that catch it early.</t>
        </is>
      </c>
      <c r="C17" s="143" t="n"/>
      <c r="D17" s="143" t="n"/>
      <c r="E17" s="143" t="n"/>
      <c r="F17" s="143" t="n"/>
      <c r="G17" s="147" t="inlineStr">
        <is>
          <t>One owner, one sponsor, and the co-owners who make it stick.</t>
        </is>
      </c>
      <c r="H17" s="143" t="n"/>
      <c r="I17" s="143" t="n"/>
      <c r="J17" s="143" t="n"/>
      <c r="K17" s="143" t="n"/>
      <c r="L17" s="147" t="inlineStr">
        <is>
          <t>Budget-cycle milestones: socialize, defend, lock, start.</t>
        </is>
      </c>
      <c r="M17" s="143" t="n"/>
      <c r="N17" s="143" t="n"/>
      <c r="O17" s="143" t="n"/>
      <c r="P17" s="143" t="n"/>
    </row>
    <row r="18" ht="15" customHeight="1">
      <c r="B18" s="148" t="str">
        <f>IF($J$44="",$D$44,$J$44)</f>
        <v>Baseline = [period] agreed with Finance; cost pass-through and tariffs excluded; measured vs. control where possible. Gates: set the thresholds above; they print in Canvas block 4.</v>
      </c>
      <c r="C18" s="149" t="n"/>
      <c r="D18" s="149" t="n"/>
      <c r="E18" s="149" t="n"/>
      <c r="F18" s="149" t="n"/>
      <c r="G18" s="150" t="inlineStr">
        <is>
          <t>Owner</t>
        </is>
      </c>
      <c r="H18" s="143" t="n"/>
      <c r="I18" s="151" t="n"/>
      <c r="J18" s="12" t="n"/>
      <c r="K18" s="12" t="n"/>
      <c r="L18" s="148" t="str">
        <f>IF($J$45="",$D$45,$J$45)</f>
        <v>Sep: socialize + size · Oct: draft the line item, pre-wire the CFO · Nov: defend · Dec: lock · Jan 2027: diagnostic starts</v>
      </c>
      <c r="M18" s="149" t="n"/>
      <c r="N18" s="149" t="n"/>
      <c r="O18" s="149" t="n"/>
      <c r="P18" s="149" t="n"/>
    </row>
    <row r="19" ht="15" customHeight="1">
      <c r="B19" s="149" t="n"/>
      <c r="C19" s="149" t="n"/>
      <c r="D19" s="149" t="n"/>
      <c r="E19" s="149" t="n"/>
      <c r="F19" s="149" t="n"/>
      <c r="G19" s="150" t="inlineStr">
        <is>
          <t>Executive sponsor</t>
        </is>
      </c>
      <c r="H19" s="143" t="n"/>
      <c r="I19" s="151" t="n"/>
      <c r="J19" s="12" t="n"/>
      <c r="K19" s="12" t="n"/>
      <c r="L19" s="149" t="n"/>
      <c r="M19" s="149" t="n"/>
      <c r="N19" s="149" t="n"/>
      <c r="O19" s="149" t="n"/>
      <c r="P19" s="149" t="n"/>
    </row>
    <row r="20" ht="15" customHeight="1">
      <c r="B20" s="149" t="n"/>
      <c r="C20" s="149" t="n"/>
      <c r="D20" s="149" t="n"/>
      <c r="E20" s="149" t="n"/>
      <c r="F20" s="149" t="n"/>
      <c r="G20" s="150" t="inlineStr">
        <is>
          <t>Finance partner</t>
        </is>
      </c>
      <c r="H20" s="143" t="n"/>
      <c r="I20" s="151" t="n"/>
      <c r="J20" s="12" t="n"/>
      <c r="K20" s="12" t="n"/>
      <c r="L20" s="149" t="n"/>
      <c r="M20" s="149" t="n"/>
      <c r="N20" s="149" t="n"/>
      <c r="O20" s="149" t="n"/>
      <c r="P20" s="149" t="n"/>
    </row>
    <row r="21" ht="15" customHeight="1">
      <c r="B21" s="149" t="n"/>
      <c r="C21" s="149" t="n"/>
      <c r="D21" s="149" t="n"/>
      <c r="E21" s="149" t="n"/>
      <c r="F21" s="149" t="n"/>
      <c r="G21" s="150" t="inlineStr">
        <is>
          <t>Sales lead</t>
        </is>
      </c>
      <c r="H21" s="143" t="n"/>
      <c r="I21" s="151" t="n"/>
      <c r="J21" s="12" t="n"/>
      <c r="K21" s="12" t="n"/>
      <c r="L21" s="149" t="n"/>
      <c r="M21" s="149" t="n"/>
      <c r="N21" s="149" t="n"/>
      <c r="O21" s="149" t="n"/>
      <c r="P21" s="149" t="n"/>
    </row>
    <row r="22" ht="15" customHeight="1">
      <c r="B22" s="149" t="n"/>
      <c r="C22" s="149" t="n"/>
      <c r="D22" s="149" t="n"/>
      <c r="E22" s="149" t="n"/>
      <c r="F22" s="149" t="n"/>
      <c r="G22" s="150" t="inlineStr">
        <is>
          <t>IT · Data lead</t>
        </is>
      </c>
      <c r="H22" s="143" t="n"/>
      <c r="I22" s="151" t="n"/>
      <c r="J22" s="12" t="n"/>
      <c r="K22" s="12" t="n"/>
      <c r="L22" s="149" t="n"/>
      <c r="M22" s="149" t="n"/>
      <c r="N22" s="149" t="n"/>
      <c r="O22" s="149" t="n"/>
      <c r="P22" s="149" t="n"/>
    </row>
    <row r="23" ht="5" customHeight="1"/>
    <row r="24" ht="12" customHeight="1">
      <c r="B24" s="152" t="str">
        <f>"PHASES · month 1 = "&amp;TEXT(DATE(StartYearUsed,StartMonthUsed,1),"mmm yyyy")</f>
        <v>PHASES · month 1 = Jan 2027</v>
      </c>
      <c r="E24" s="153" t="str">
        <f>TEXT(EDATE(DATE(StartYearUsed,StartMonthUsed,1),E$50-1),"mmm")</f>
        <v>Jan</v>
      </c>
      <c r="F24" s="153" t="str">
        <f>TEXT(EDATE(DATE(StartYearUsed,StartMonthUsed,1),F$50-1),"mmm")</f>
        <v>Feb</v>
      </c>
      <c r="G24" s="153" t="str">
        <f>TEXT(EDATE(DATE(StartYearUsed,StartMonthUsed,1),G$50-1),"mmm")</f>
        <v>Mar</v>
      </c>
      <c r="H24" s="153" t="str">
        <f>TEXT(EDATE(DATE(StartYearUsed,StartMonthUsed,1),H$50-1),"mmm")</f>
        <v>Apr</v>
      </c>
      <c r="I24" s="153" t="str">
        <f>TEXT(EDATE(DATE(StartYearUsed,StartMonthUsed,1),I$50-1),"mmm")</f>
        <v>May</v>
      </c>
      <c r="J24" s="153" t="str">
        <f>TEXT(EDATE(DATE(StartYearUsed,StartMonthUsed,1),J$50-1),"mmm")</f>
        <v>Jun</v>
      </c>
      <c r="K24" s="153" t="str">
        <f>TEXT(EDATE(DATE(StartYearUsed,StartMonthUsed,1),K$50-1),"mmm")</f>
        <v>Jul</v>
      </c>
      <c r="L24" s="153" t="str">
        <f>TEXT(EDATE(DATE(StartYearUsed,StartMonthUsed,1),L$50-1),"mmm")</f>
        <v>Aug</v>
      </c>
      <c r="M24" s="153" t="str">
        <f>TEXT(EDATE(DATE(StartYearUsed,StartMonthUsed,1),M$50-1),"mmm")</f>
        <v>Sep</v>
      </c>
      <c r="N24" s="153" t="str">
        <f>TEXT(EDATE(DATE(StartYearUsed,StartMonthUsed,1),N$50-1),"mmm")</f>
        <v>Oct</v>
      </c>
      <c r="O24" s="153" t="str">
        <f>TEXT(EDATE(DATE(StartYearUsed,StartMonthUsed,1),O$50-1),"mmm")</f>
        <v>Nov</v>
      </c>
      <c r="P24" s="153" t="str">
        <f>TEXT(EDATE(DATE(StartYearUsed,StartMonthUsed,1),P$50-1),"mmm")</f>
        <v>Dec</v>
      </c>
    </row>
    <row r="25" ht="18" customHeight="1">
      <c r="E25" s="154" t="str">
        <f>IF($C$49=0,"",IF(AND($D$49&gt;0,E$50=1),"Internal",IF(AND($I$49&gt;0,$N$49&gt;0,E$50=$E$49),"Diagnostic",IF(AND($L$49&gt;0,E$50=$F$49),"Sprint",IF(AND($H$49&gt;$G$49,E$50=$G$49),IF($J$49&gt;0,"Build","Build · TBD"),IF(AND($O$49&gt;0,E$50=$H$49),"Sustain",""))))))</f>
        <v/>
      </c>
      <c r="F25" s="154" t="str">
        <f>IF($C$49=0,"",IF(AND($D$49&gt;0,F$50=1),"Internal",IF(AND($I$49&gt;0,$N$49&gt;0,F$50=$E$49),"Diagnostic",IF(AND($L$49&gt;0,F$50=$F$49),"Sprint",IF(AND($H$49&gt;$G$49,F$50=$G$49),IF($J$49&gt;0,"Build","Build · TBD"),IF(AND($O$49&gt;0,F$50=$H$49),"Sustain",""))))))</f>
        <v/>
      </c>
      <c r="G25" s="154" t="str">
        <f>IF($C$49=0,"",IF(AND($D$49&gt;0,G$50=1),"Internal",IF(AND($I$49&gt;0,$N$49&gt;0,G$50=$E$49),"Diagnostic",IF(AND($L$49&gt;0,G$50=$F$49),"Sprint",IF(AND($H$49&gt;$G$49,G$50=$G$49),IF($J$49&gt;0,"Build","Build · TBD"),IF(AND($O$49&gt;0,G$50=$H$49),"Sustain",""))))))</f>
        <v/>
      </c>
      <c r="H25" s="154" t="str">
        <f>IF($C$49=0,"",IF(AND($D$49&gt;0,H$50=1),"Internal",IF(AND($I$49&gt;0,$N$49&gt;0,H$50=$E$49),"Diagnostic",IF(AND($L$49&gt;0,H$50=$F$49),"Sprint",IF(AND($H$49&gt;$G$49,H$50=$G$49),IF($J$49&gt;0,"Build","Build · TBD"),IF(AND($O$49&gt;0,H$50=$H$49),"Sustain",""))))))</f>
        <v/>
      </c>
      <c r="I25" s="154" t="str">
        <f>IF($C$49=0,"",IF(AND($D$49&gt;0,I$50=1),"Internal",IF(AND($I$49&gt;0,$N$49&gt;0,I$50=$E$49),"Diagnostic",IF(AND($L$49&gt;0,I$50=$F$49),"Sprint",IF(AND($H$49&gt;$G$49,I$50=$G$49),IF($J$49&gt;0,"Build","Build · TBD"),IF(AND($O$49&gt;0,I$50=$H$49),"Sustain",""))))))</f>
        <v/>
      </c>
      <c r="J25" s="154" t="str">
        <f>IF($C$49=0,"",IF(AND($D$49&gt;0,J$50=1),"Internal",IF(AND($I$49&gt;0,$N$49&gt;0,J$50=$E$49),"Diagnostic",IF(AND($L$49&gt;0,J$50=$F$49),"Sprint",IF(AND($H$49&gt;$G$49,J$50=$G$49),IF($J$49&gt;0,"Build","Build · TBD"),IF(AND($O$49&gt;0,J$50=$H$49),"Sustain",""))))))</f>
        <v/>
      </c>
      <c r="K25" s="154" t="str">
        <f>IF($C$49=0,"",IF(AND($D$49&gt;0,K$50=1),"Internal",IF(AND($I$49&gt;0,$N$49&gt;0,K$50=$E$49),"Diagnostic",IF(AND($L$49&gt;0,K$50=$F$49),"Sprint",IF(AND($H$49&gt;$G$49,K$50=$G$49),IF($J$49&gt;0,"Build","Build · TBD"),IF(AND($O$49&gt;0,K$50=$H$49),"Sustain",""))))))</f>
        <v/>
      </c>
      <c r="L25" s="154" t="str">
        <f>IF($C$49=0,"",IF(AND($D$49&gt;0,L$50=1),"Internal",IF(AND($I$49&gt;0,$N$49&gt;0,L$50=$E$49),"Diagnostic",IF(AND($L$49&gt;0,L$50=$F$49),"Sprint",IF(AND($H$49&gt;$G$49,L$50=$G$49),IF($J$49&gt;0,"Build","Build · TBD"),IF(AND($O$49&gt;0,L$50=$H$49),"Sustain",""))))))</f>
        <v/>
      </c>
      <c r="M25" s="154" t="str">
        <f>IF($C$49=0,"",IF(AND($D$49&gt;0,M$50=1),"Internal",IF(AND($I$49&gt;0,$N$49&gt;0,M$50=$E$49),"Diagnostic",IF(AND($L$49&gt;0,M$50=$F$49),"Sprint",IF(AND($H$49&gt;$G$49,M$50=$G$49),IF($J$49&gt;0,"Build","Build · TBD"),IF(AND($O$49&gt;0,M$50=$H$49),"Sustain",""))))))</f>
        <v/>
      </c>
      <c r="N25" s="154" t="str">
        <f>IF($C$49=0,"",IF(AND($D$49&gt;0,N$50=1),"Internal",IF(AND($I$49&gt;0,$N$49&gt;0,N$50=$E$49),"Diagnostic",IF(AND($L$49&gt;0,N$50=$F$49),"Sprint",IF(AND($H$49&gt;$G$49,N$50=$G$49),IF($J$49&gt;0,"Build","Build · TBD"),IF(AND($O$49&gt;0,N$50=$H$49),"Sustain",""))))))</f>
        <v/>
      </c>
      <c r="O25" s="154" t="str">
        <f>IF($C$49=0,"",IF(AND($D$49&gt;0,O$50=1),"Internal",IF(AND($I$49&gt;0,$N$49&gt;0,O$50=$E$49),"Diagnostic",IF(AND($L$49&gt;0,O$50=$F$49),"Sprint",IF(AND($H$49&gt;$G$49,O$50=$G$49),IF($J$49&gt;0,"Build","Build · TBD"),IF(AND($O$49&gt;0,O$50=$H$49),"Sustain",""))))))</f>
        <v/>
      </c>
      <c r="P25" s="154" t="str">
        <f>IF($C$49=0,"",IF(AND($D$49&gt;0,P$50=1),"Internal",IF(AND($I$49&gt;0,$N$49&gt;0,P$50=$E$49),"Diagnostic",IF(AND($L$49&gt;0,P$50=$F$49),"Sprint",IF(AND($H$49&gt;$G$49,P$50=$G$49),IF($J$49&gt;0,"Build","Build · TBD"),IF(AND($O$49&gt;0,P$50=$H$49),"Sustain",""))))))</f>
        <v/>
      </c>
    </row>
    <row r="26" ht="12" customHeight="1">
      <c r="B26" s="155" t="str">
        <f>IF(N(PlanAdopt)&gt;0,"+ adoption "&amp;IF(ABS((PlanAdopt))&gt;=1000000,TEXT((PlanAdopt)/1000000,"$0.0")&amp;"M",TEXT((PlanAdopt)/1000,"$#,##0")&amp;"K")&amp;" (build + 2 mo)","one-time $ · months")</f>
        <v>one-time $ · months</v>
      </c>
      <c r="E26" s="156" t="str">
        <f>IF($C$49=0,"",IF(AND($D$49&gt;0,E$50=1),IF(ABS((PlanInternal))&gt;=1000000,TEXT((PlanInternal)/1000000,"$0.0")&amp;"M",TEXT((PlanInternal)/1000,"$#,##0")&amp;"K")&amp;" · "&amp;$D$49&amp;" mo",IF(AND($I$49&gt;0,$N$49&gt;0,E$50=$E$49),IF(ABS((PlanDiag))&gt;=1000000,TEXT((PlanDiag)/1000000,"$0.0")&amp;"M",TEXT((PlanDiag)/1000,"$#,##0")&amp;"K")&amp;" · "&amp;$N$49&amp;" mo",IF(AND($L$49&gt;0,E$50=$F$49),IF(ABS((PlanSprint))&gt;=1000000,TEXT((PlanSprint)/1000000,"$0.0")&amp;"M",TEXT((PlanSprint)/1000,"$#,##0")&amp;"K")&amp;" · "&amp;$L$49&amp;" mo",IF(AND($H$49&gt;$G$49,E$50=$G$49),IF($J$49&gt;0,IF(ABS((PlanBuild))&gt;=1000000,TEXT((PlanBuild)/1000000,"$0.0")&amp;"M",TEXT((PlanBuild)/1000,"$#,##0")&amp;"K")&amp;" · "&amp;DurBuildUsed&amp;" mo","after sprint"),IF(AND($O$49&gt;0,E$50=$H$49),TEXT(PlanSustain/1000,"$0.0")&amp;"K/mo",""))))))</f>
        <v/>
      </c>
      <c r="F26" s="156" t="str">
        <f>IF($C$49=0,"",IF(AND($D$49&gt;0,F$50=1),IF(ABS((PlanInternal))&gt;=1000000,TEXT((PlanInternal)/1000000,"$0.0")&amp;"M",TEXT((PlanInternal)/1000,"$#,##0")&amp;"K")&amp;" · "&amp;$D$49&amp;" mo",IF(AND($I$49&gt;0,$N$49&gt;0,F$50=$E$49),IF(ABS((PlanDiag))&gt;=1000000,TEXT((PlanDiag)/1000000,"$0.0")&amp;"M",TEXT((PlanDiag)/1000,"$#,##0")&amp;"K")&amp;" · "&amp;$N$49&amp;" mo",IF(AND($L$49&gt;0,F$50=$F$49),IF(ABS((PlanSprint))&gt;=1000000,TEXT((PlanSprint)/1000000,"$0.0")&amp;"M",TEXT((PlanSprint)/1000,"$#,##0")&amp;"K")&amp;" · "&amp;$L$49&amp;" mo",IF(AND($H$49&gt;$G$49,F$50=$G$49),IF($J$49&gt;0,IF(ABS((PlanBuild))&gt;=1000000,TEXT((PlanBuild)/1000000,"$0.0")&amp;"M",TEXT((PlanBuild)/1000,"$#,##0")&amp;"K")&amp;" · "&amp;DurBuildUsed&amp;" mo","after sprint"),IF(AND($O$49&gt;0,F$50=$H$49),TEXT(PlanSustain/1000,"$0.0")&amp;"K/mo",""))))))</f>
        <v/>
      </c>
      <c r="G26" s="156" t="str">
        <f>IF($C$49=0,"",IF(AND($D$49&gt;0,G$50=1),IF(ABS((PlanInternal))&gt;=1000000,TEXT((PlanInternal)/1000000,"$0.0")&amp;"M",TEXT((PlanInternal)/1000,"$#,##0")&amp;"K")&amp;" · "&amp;$D$49&amp;" mo",IF(AND($I$49&gt;0,$N$49&gt;0,G$50=$E$49),IF(ABS((PlanDiag))&gt;=1000000,TEXT((PlanDiag)/1000000,"$0.0")&amp;"M",TEXT((PlanDiag)/1000,"$#,##0")&amp;"K")&amp;" · "&amp;$N$49&amp;" mo",IF(AND($L$49&gt;0,G$50=$F$49),IF(ABS((PlanSprint))&gt;=1000000,TEXT((PlanSprint)/1000000,"$0.0")&amp;"M",TEXT((PlanSprint)/1000,"$#,##0")&amp;"K")&amp;" · "&amp;$L$49&amp;" mo",IF(AND($H$49&gt;$G$49,G$50=$G$49),IF($J$49&gt;0,IF(ABS((PlanBuild))&gt;=1000000,TEXT((PlanBuild)/1000000,"$0.0")&amp;"M",TEXT((PlanBuild)/1000,"$#,##0")&amp;"K")&amp;" · "&amp;DurBuildUsed&amp;" mo","after sprint"),IF(AND($O$49&gt;0,G$50=$H$49),TEXT(PlanSustain/1000,"$0.0")&amp;"K/mo",""))))))</f>
        <v/>
      </c>
      <c r="H26" s="156" t="str">
        <f>IF($C$49=0,"",IF(AND($D$49&gt;0,H$50=1),IF(ABS((PlanInternal))&gt;=1000000,TEXT((PlanInternal)/1000000,"$0.0")&amp;"M",TEXT((PlanInternal)/1000,"$#,##0")&amp;"K")&amp;" · "&amp;$D$49&amp;" mo",IF(AND($I$49&gt;0,$N$49&gt;0,H$50=$E$49),IF(ABS((PlanDiag))&gt;=1000000,TEXT((PlanDiag)/1000000,"$0.0")&amp;"M",TEXT((PlanDiag)/1000,"$#,##0")&amp;"K")&amp;" · "&amp;$N$49&amp;" mo",IF(AND($L$49&gt;0,H$50=$F$49),IF(ABS((PlanSprint))&gt;=1000000,TEXT((PlanSprint)/1000000,"$0.0")&amp;"M",TEXT((PlanSprint)/1000,"$#,##0")&amp;"K")&amp;" · "&amp;$L$49&amp;" mo",IF(AND($H$49&gt;$G$49,H$50=$G$49),IF($J$49&gt;0,IF(ABS((PlanBuild))&gt;=1000000,TEXT((PlanBuild)/1000000,"$0.0")&amp;"M",TEXT((PlanBuild)/1000,"$#,##0")&amp;"K")&amp;" · "&amp;DurBuildUsed&amp;" mo","after sprint"),IF(AND($O$49&gt;0,H$50=$H$49),TEXT(PlanSustain/1000,"$0.0")&amp;"K/mo",""))))))</f>
        <v/>
      </c>
      <c r="I26" s="156" t="str">
        <f>IF($C$49=0,"",IF(AND($D$49&gt;0,I$50=1),IF(ABS((PlanInternal))&gt;=1000000,TEXT((PlanInternal)/1000000,"$0.0")&amp;"M",TEXT((PlanInternal)/1000,"$#,##0")&amp;"K")&amp;" · "&amp;$D$49&amp;" mo",IF(AND($I$49&gt;0,$N$49&gt;0,I$50=$E$49),IF(ABS((PlanDiag))&gt;=1000000,TEXT((PlanDiag)/1000000,"$0.0")&amp;"M",TEXT((PlanDiag)/1000,"$#,##0")&amp;"K")&amp;" · "&amp;$N$49&amp;" mo",IF(AND($L$49&gt;0,I$50=$F$49),IF(ABS((PlanSprint))&gt;=1000000,TEXT((PlanSprint)/1000000,"$0.0")&amp;"M",TEXT((PlanSprint)/1000,"$#,##0")&amp;"K")&amp;" · "&amp;$L$49&amp;" mo",IF(AND($H$49&gt;$G$49,I$50=$G$49),IF($J$49&gt;0,IF(ABS((PlanBuild))&gt;=1000000,TEXT((PlanBuild)/1000000,"$0.0")&amp;"M",TEXT((PlanBuild)/1000,"$#,##0")&amp;"K")&amp;" · "&amp;DurBuildUsed&amp;" mo","after sprint"),IF(AND($O$49&gt;0,I$50=$H$49),TEXT(PlanSustain/1000,"$0.0")&amp;"K/mo",""))))))</f>
        <v/>
      </c>
      <c r="J26" s="156" t="str">
        <f>IF($C$49=0,"",IF(AND($D$49&gt;0,J$50=1),IF(ABS((PlanInternal))&gt;=1000000,TEXT((PlanInternal)/1000000,"$0.0")&amp;"M",TEXT((PlanInternal)/1000,"$#,##0")&amp;"K")&amp;" · "&amp;$D$49&amp;" mo",IF(AND($I$49&gt;0,$N$49&gt;0,J$50=$E$49),IF(ABS((PlanDiag))&gt;=1000000,TEXT((PlanDiag)/1000000,"$0.0")&amp;"M",TEXT((PlanDiag)/1000,"$#,##0")&amp;"K")&amp;" · "&amp;$N$49&amp;" mo",IF(AND($L$49&gt;0,J$50=$F$49),IF(ABS((PlanSprint))&gt;=1000000,TEXT((PlanSprint)/1000000,"$0.0")&amp;"M",TEXT((PlanSprint)/1000,"$#,##0")&amp;"K")&amp;" · "&amp;$L$49&amp;" mo",IF(AND($H$49&gt;$G$49,J$50=$G$49),IF($J$49&gt;0,IF(ABS((PlanBuild))&gt;=1000000,TEXT((PlanBuild)/1000000,"$0.0")&amp;"M",TEXT((PlanBuild)/1000,"$#,##0")&amp;"K")&amp;" · "&amp;DurBuildUsed&amp;" mo","after sprint"),IF(AND($O$49&gt;0,J$50=$H$49),TEXT(PlanSustain/1000,"$0.0")&amp;"K/mo",""))))))</f>
        <v/>
      </c>
      <c r="K26" s="156" t="str">
        <f>IF($C$49=0,"",IF(AND($D$49&gt;0,K$50=1),IF(ABS((PlanInternal))&gt;=1000000,TEXT((PlanInternal)/1000000,"$0.0")&amp;"M",TEXT((PlanInternal)/1000,"$#,##0")&amp;"K")&amp;" · "&amp;$D$49&amp;" mo",IF(AND($I$49&gt;0,$N$49&gt;0,K$50=$E$49),IF(ABS((PlanDiag))&gt;=1000000,TEXT((PlanDiag)/1000000,"$0.0")&amp;"M",TEXT((PlanDiag)/1000,"$#,##0")&amp;"K")&amp;" · "&amp;$N$49&amp;" mo",IF(AND($L$49&gt;0,K$50=$F$49),IF(ABS((PlanSprint))&gt;=1000000,TEXT((PlanSprint)/1000000,"$0.0")&amp;"M",TEXT((PlanSprint)/1000,"$#,##0")&amp;"K")&amp;" · "&amp;$L$49&amp;" mo",IF(AND($H$49&gt;$G$49,K$50=$G$49),IF($J$49&gt;0,IF(ABS((PlanBuild))&gt;=1000000,TEXT((PlanBuild)/1000000,"$0.0")&amp;"M",TEXT((PlanBuild)/1000,"$#,##0")&amp;"K")&amp;" · "&amp;DurBuildUsed&amp;" mo","after sprint"),IF(AND($O$49&gt;0,K$50=$H$49),TEXT(PlanSustain/1000,"$0.0")&amp;"K/mo",""))))))</f>
        <v/>
      </c>
      <c r="L26" s="156" t="str">
        <f>IF($C$49=0,"",IF(AND($D$49&gt;0,L$50=1),IF(ABS((PlanInternal))&gt;=1000000,TEXT((PlanInternal)/1000000,"$0.0")&amp;"M",TEXT((PlanInternal)/1000,"$#,##0")&amp;"K")&amp;" · "&amp;$D$49&amp;" mo",IF(AND($I$49&gt;0,$N$49&gt;0,L$50=$E$49),IF(ABS((PlanDiag))&gt;=1000000,TEXT((PlanDiag)/1000000,"$0.0")&amp;"M",TEXT((PlanDiag)/1000,"$#,##0")&amp;"K")&amp;" · "&amp;$N$49&amp;" mo",IF(AND($L$49&gt;0,L$50=$F$49),IF(ABS((PlanSprint))&gt;=1000000,TEXT((PlanSprint)/1000000,"$0.0")&amp;"M",TEXT((PlanSprint)/1000,"$#,##0")&amp;"K")&amp;" · "&amp;$L$49&amp;" mo",IF(AND($H$49&gt;$G$49,L$50=$G$49),IF($J$49&gt;0,IF(ABS((PlanBuild))&gt;=1000000,TEXT((PlanBuild)/1000000,"$0.0")&amp;"M",TEXT((PlanBuild)/1000,"$#,##0")&amp;"K")&amp;" · "&amp;DurBuildUsed&amp;" mo","after sprint"),IF(AND($O$49&gt;0,L$50=$H$49),TEXT(PlanSustain/1000,"$0.0")&amp;"K/mo",""))))))</f>
        <v/>
      </c>
      <c r="M26" s="156" t="str">
        <f>IF($C$49=0,"",IF(AND($D$49&gt;0,M$50=1),IF(ABS((PlanInternal))&gt;=1000000,TEXT((PlanInternal)/1000000,"$0.0")&amp;"M",TEXT((PlanInternal)/1000,"$#,##0")&amp;"K")&amp;" · "&amp;$D$49&amp;" mo",IF(AND($I$49&gt;0,$N$49&gt;0,M$50=$E$49),IF(ABS((PlanDiag))&gt;=1000000,TEXT((PlanDiag)/1000000,"$0.0")&amp;"M",TEXT((PlanDiag)/1000,"$#,##0")&amp;"K")&amp;" · "&amp;$N$49&amp;" mo",IF(AND($L$49&gt;0,M$50=$F$49),IF(ABS((PlanSprint))&gt;=1000000,TEXT((PlanSprint)/1000000,"$0.0")&amp;"M",TEXT((PlanSprint)/1000,"$#,##0")&amp;"K")&amp;" · "&amp;$L$49&amp;" mo",IF(AND($H$49&gt;$G$49,M$50=$G$49),IF($J$49&gt;0,IF(ABS((PlanBuild))&gt;=1000000,TEXT((PlanBuild)/1000000,"$0.0")&amp;"M",TEXT((PlanBuild)/1000,"$#,##0")&amp;"K")&amp;" · "&amp;DurBuildUsed&amp;" mo","after sprint"),IF(AND($O$49&gt;0,M$50=$H$49),TEXT(PlanSustain/1000,"$0.0")&amp;"K/mo",""))))))</f>
        <v/>
      </c>
      <c r="N26" s="156" t="str">
        <f>IF($C$49=0,"",IF(AND($D$49&gt;0,N$50=1),IF(ABS((PlanInternal))&gt;=1000000,TEXT((PlanInternal)/1000000,"$0.0")&amp;"M",TEXT((PlanInternal)/1000,"$#,##0")&amp;"K")&amp;" · "&amp;$D$49&amp;" mo",IF(AND($I$49&gt;0,$N$49&gt;0,N$50=$E$49),IF(ABS((PlanDiag))&gt;=1000000,TEXT((PlanDiag)/1000000,"$0.0")&amp;"M",TEXT((PlanDiag)/1000,"$#,##0")&amp;"K")&amp;" · "&amp;$N$49&amp;" mo",IF(AND($L$49&gt;0,N$50=$F$49),IF(ABS((PlanSprint))&gt;=1000000,TEXT((PlanSprint)/1000000,"$0.0")&amp;"M",TEXT((PlanSprint)/1000,"$#,##0")&amp;"K")&amp;" · "&amp;$L$49&amp;" mo",IF(AND($H$49&gt;$G$49,N$50=$G$49),IF($J$49&gt;0,IF(ABS((PlanBuild))&gt;=1000000,TEXT((PlanBuild)/1000000,"$0.0")&amp;"M",TEXT((PlanBuild)/1000,"$#,##0")&amp;"K")&amp;" · "&amp;DurBuildUsed&amp;" mo","after sprint"),IF(AND($O$49&gt;0,N$50=$H$49),TEXT(PlanSustain/1000,"$0.0")&amp;"K/mo",""))))))</f>
        <v/>
      </c>
      <c r="O26" s="156" t="str">
        <f>IF($C$49=0,"",IF(AND($D$49&gt;0,O$50=1),IF(ABS((PlanInternal))&gt;=1000000,TEXT((PlanInternal)/1000000,"$0.0")&amp;"M",TEXT((PlanInternal)/1000,"$#,##0")&amp;"K")&amp;" · "&amp;$D$49&amp;" mo",IF(AND($I$49&gt;0,$N$49&gt;0,O$50=$E$49),IF(ABS((PlanDiag))&gt;=1000000,TEXT((PlanDiag)/1000000,"$0.0")&amp;"M",TEXT((PlanDiag)/1000,"$#,##0")&amp;"K")&amp;" · "&amp;$N$49&amp;" mo",IF(AND($L$49&gt;0,O$50=$F$49),IF(ABS((PlanSprint))&gt;=1000000,TEXT((PlanSprint)/1000000,"$0.0")&amp;"M",TEXT((PlanSprint)/1000,"$#,##0")&amp;"K")&amp;" · "&amp;$L$49&amp;" mo",IF(AND($H$49&gt;$G$49,O$50=$G$49),IF($J$49&gt;0,IF(ABS((PlanBuild))&gt;=1000000,TEXT((PlanBuild)/1000000,"$0.0")&amp;"M",TEXT((PlanBuild)/1000,"$#,##0")&amp;"K")&amp;" · "&amp;DurBuildUsed&amp;" mo","after sprint"),IF(AND($O$49&gt;0,O$50=$H$49),TEXT(PlanSustain/1000,"$0.0")&amp;"K/mo",""))))))</f>
        <v/>
      </c>
      <c r="P26" s="156" t="str">
        <f>IF($C$49=0,"",IF(AND($D$49&gt;0,P$50=1),IF(ABS((PlanInternal))&gt;=1000000,TEXT((PlanInternal)/1000000,"$0.0")&amp;"M",TEXT((PlanInternal)/1000,"$#,##0")&amp;"K")&amp;" · "&amp;$D$49&amp;" mo",IF(AND($I$49&gt;0,$N$49&gt;0,P$50=$E$49),IF(ABS((PlanDiag))&gt;=1000000,TEXT((PlanDiag)/1000000,"$0.0")&amp;"M",TEXT((PlanDiag)/1000,"$#,##0")&amp;"K")&amp;" · "&amp;$N$49&amp;" mo",IF(AND($L$49&gt;0,P$50=$F$49),IF(ABS((PlanSprint))&gt;=1000000,TEXT((PlanSprint)/1000000,"$0.0")&amp;"M",TEXT((PlanSprint)/1000,"$#,##0")&amp;"K")&amp;" · "&amp;$L$49&amp;" mo",IF(AND($H$49&gt;$G$49,P$50=$G$49),IF($J$49&gt;0,IF(ABS((PlanBuild))&gt;=1000000,TEXT((PlanBuild)/1000000,"$0.0")&amp;"M",TEXT((PlanBuild)/1000,"$#,##0")&amp;"K")&amp;" · "&amp;DurBuildUsed&amp;" mo","after sprint"),IF(AND($O$49&gt;0,P$50=$H$49),TEXT(PlanSustain/1000,"$0.0")&amp;"K/mo",""))))))</f>
        <v/>
      </c>
    </row>
    <row r="27" ht="16" customHeight="1">
      <c r="B27" s="157" t="str">
        <f>IF($C$49=0,"CUMULATIVE NET",IF($K$49&gt;0,"CUMULATIVE NET · payback M"&amp;$K$49,"CUMULATIVE NET · no payback in 24 mo"))</f>
        <v>CUMULATIVE NET</v>
      </c>
      <c r="E27" s="158" t="str">
        <f>IF($C$49=0,"",INDEX(CumNetM1to12,1,E$50))</f>
        <v/>
      </c>
      <c r="F27" s="158" t="str">
        <f>IF($C$49=0,"",INDEX(CumNetM1to12,1,F$50))</f>
        <v/>
      </c>
      <c r="G27" s="158" t="str">
        <f>IF($C$49=0,"",INDEX(CumNetM1to12,1,G$50))</f>
        <v/>
      </c>
      <c r="H27" s="158" t="str">
        <f>IF($C$49=0,"",INDEX(CumNetM1to12,1,H$50))</f>
        <v/>
      </c>
      <c r="I27" s="158" t="str">
        <f>IF($C$49=0,"",INDEX(CumNetM1to12,1,I$50))</f>
        <v/>
      </c>
      <c r="J27" s="158" t="str">
        <f>IF($C$49=0,"",INDEX(CumNetM1to12,1,J$50))</f>
        <v/>
      </c>
      <c r="K27" s="158" t="str">
        <f>IF($C$49=0,"",INDEX(CumNetM1to12,1,K$50))</f>
        <v/>
      </c>
      <c r="L27" s="158" t="str">
        <f>IF($C$49=0,"",INDEX(CumNetM1to12,1,L$50))</f>
        <v/>
      </c>
      <c r="M27" s="158" t="str">
        <f>IF($C$49=0,"",INDEX(CumNetM1to12,1,M$50))</f>
        <v/>
      </c>
      <c r="N27" s="158" t="str">
        <f>IF($C$49=0,"",INDEX(CumNetM1to12,1,N$50))</f>
        <v/>
      </c>
      <c r="O27" s="158" t="str">
        <f>IF($C$49=0,"",INDEX(CumNetM1to12,1,O$50))</f>
        <v/>
      </c>
      <c r="P27" s="158" t="str">
        <f>IF($C$49=0,"",INDEX(CumNetM1to12,1,P$50))</f>
        <v/>
      </c>
    </row>
    <row r="28" ht="5" customHeight="1"/>
    <row r="29" ht="16" customHeight="1">
      <c r="B29" s="145" t="inlineStr">
        <is>
          <t>7 · SUCCESS METRICS · Q2 — revenue · margin · adoption · time-to-value</t>
        </is>
      </c>
      <c r="C29" s="146" t="n"/>
      <c r="D29" s="146" t="n"/>
      <c r="E29" s="146" t="n"/>
      <c r="F29" s="146" t="n"/>
      <c r="G29" s="146" t="n"/>
      <c r="H29" s="146" t="n"/>
      <c r="I29" s="146" t="n"/>
      <c r="J29" s="146" t="n"/>
      <c r="K29" s="146" t="n"/>
      <c r="L29" s="146" t="n"/>
      <c r="M29" s="146" t="n"/>
      <c r="N29" s="146" t="n"/>
      <c r="O29" s="146" t="n"/>
      <c r="P29" s="146" t="n"/>
    </row>
    <row r="30" ht="16" customHeight="1">
      <c r="B30" s="159" t="str">
        <f>IF($J$46="",$D$46,$J$46)</f>
        <v>Net price realization +50 bps · pocket margin +40 bps · adoption 80% · first proven win inside 12 weeks</v>
      </c>
      <c r="C30" s="149" t="n"/>
      <c r="D30" s="149" t="n"/>
      <c r="E30" s="149" t="n"/>
      <c r="F30" s="149" t="n"/>
      <c r="G30" s="149" t="n"/>
      <c r="H30" s="149" t="n"/>
      <c r="I30" s="149" t="n"/>
      <c r="J30" s="149" t="n"/>
      <c r="K30" s="149" t="n"/>
      <c r="L30" s="149" t="n"/>
      <c r="M30" s="149" t="n"/>
      <c r="N30" s="149" t="n"/>
      <c r="O30" s="149" t="n"/>
      <c r="P30" s="149" t="n"/>
    </row>
    <row r="31" ht="5" customHeight="1"/>
    <row r="32" ht="18" customHeight="1">
      <c r="B32" s="160" t="inlineStr">
        <is>
          <t>THE ASK — one sentence, one number, one date</t>
        </is>
      </c>
      <c r="C32" s="161" t="n"/>
      <c r="D32" s="161" t="n"/>
      <c r="E32" s="161" t="n"/>
      <c r="F32" s="161" t="n"/>
      <c r="G32" s="161" t="n"/>
      <c r="H32" s="161" t="n"/>
      <c r="I32" s="161" t="n"/>
      <c r="J32" s="161" t="n"/>
      <c r="K32" s="161" t="n"/>
      <c r="L32" s="161" t="n"/>
      <c r="M32" s="161" t="n"/>
      <c r="N32" s="161" t="n"/>
      <c r="O32" s="161" t="n"/>
      <c r="P32" s="161" t="n"/>
    </row>
    <row r="33" ht="40" customHeight="1">
      <c r="B33" s="162" t="str">
        <f>IF($J$47="",$D$47,$J$47)</f>
        <v>← Enter your revenue on tab 1</v>
      </c>
      <c r="C33" s="161" t="n"/>
      <c r="D33" s="161" t="n"/>
      <c r="E33" s="161" t="n"/>
      <c r="F33" s="161" t="n"/>
      <c r="G33" s="161" t="n"/>
      <c r="H33" s="161" t="n"/>
      <c r="I33" s="161" t="n"/>
      <c r="J33" s="161" t="n"/>
      <c r="K33" s="161" t="n"/>
      <c r="L33" s="161" t="n"/>
      <c r="M33" s="161" t="n"/>
      <c r="N33" s="161" t="n"/>
      <c r="O33" s="161" t="n"/>
      <c r="P33" s="161" t="n"/>
    </row>
    <row r="34" ht="4" customHeight="1"/>
    <row r="35" ht="20" customHeight="1">
      <c r="B35" s="163" t="str">
        <f>IF(AND($C$51,$D$51,$E$51,$F$51),"BUSINESS CASE",(IF($C$51,1,0)+IF($D$51,1,0)+IF($E$51,1,0)+IF($F$51,1,0))&amp;" OF 4 ANSWERED")</f>
        <v>0 OF 4 ANSWERED</v>
      </c>
      <c r="C35" s="161" t="n"/>
      <c r="D35" s="161" t="n"/>
      <c r="E35" s="164" t="str">
        <f>"Q1 · How much? — "&amp;IF($C$51,"answered","open")</f>
        <v>Q1 · How much? — open</v>
      </c>
      <c r="F35" s="165" t="n"/>
      <c r="G35" s="165" t="n"/>
      <c r="H35" s="164" t="str">
        <f>"Q2 · How certain? — "&amp;IF($D$51,"answered","open")</f>
        <v>Q2 · How certain? — open</v>
      </c>
      <c r="I35" s="165" t="n"/>
      <c r="J35" s="165" t="n"/>
      <c r="K35" s="164" t="str">
        <f>"Q3 · Who owns it? — "&amp;IF($E$51,"answered","open")</f>
        <v>Q3 · Who owns it? — open</v>
      </c>
      <c r="L35" s="165" t="n"/>
      <c r="M35" s="165" t="n"/>
      <c r="N35" s="164" t="str">
        <f>"Q4 · What if we do nothing? — "&amp;IF($F$51,"answered","open")</f>
        <v>Q4 · What if we do nothing? — open</v>
      </c>
      <c r="O35" s="165" t="n"/>
      <c r="P35" s="165" t="n"/>
    </row>
    <row r="36" ht="13" customHeight="1">
      <c r="B36" s="166" t="str">
        <f>IF(AND($C$51,$D$51,$E$51,$F$51),"All four questions answered — this is a business case.","Answer all four and you have a business case; miss one and you have a request.")</f>
        <v>Answer all four and you have a business case; miss one and you have a request.</v>
      </c>
    </row>
    <row r="37" ht="10" customHeight="1"/>
    <row r="38" ht="10" customHeight="1"/>
    <row r="39" ht="17" customHeight="1">
      <c r="B39" s="6" t="inlineStr">
        <is>
          <t>YOUR WORDING · edit here and the Canvas above updates · this panel does not print</t>
        </is>
      </c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</row>
    <row r="40" ht="26" customHeight="1">
      <c r="B40" s="56" t="inlineStr">
        <is>
          <t>Block</t>
        </is>
      </c>
      <c r="C40" s="7" t="n"/>
      <c r="D40" s="56" t="inlineStr">
        <is>
          <t>Suggested wording (updates with your numbers)</t>
        </is>
      </c>
      <c r="E40" s="7" t="n"/>
      <c r="F40" s="7" t="n"/>
      <c r="G40" s="7" t="n"/>
      <c r="H40" s="7" t="n"/>
      <c r="I40" s="7" t="n"/>
      <c r="J40" s="56" t="inlineStr">
        <is>
          <t>Your wording — leave blank to keep the suggestion</t>
        </is>
      </c>
      <c r="K40" s="7" t="n"/>
      <c r="L40" s="7" t="n"/>
      <c r="M40" s="7" t="n"/>
      <c r="N40" s="7" t="n"/>
      <c r="O40" s="7" t="n"/>
      <c r="P40" s="56" t="inlineStr">
        <is>
          <t>Length</t>
        </is>
      </c>
    </row>
    <row r="41" ht="63.4" customHeight="1">
      <c r="B41" s="167" t="inlineStr">
        <is>
          <t>1 · Opportunity</t>
        </is>
      </c>
      <c r="C41" s="18" t="n"/>
      <c r="D41" s="168" t="str">
        <f>IF(LeverCount=0,"[Your paragraph: where value leaks today — waterfall, churn, cost pass-through.]","Where value leaks today — "&amp;Lever1Text&amp;IF(Lever2Text="","","; "&amp;Lever2Text)&amp;IF(Lever3Text="","","; "&amp;Lever3Text)&amp;IF(LeverCount&gt;3,"; +"&amp;(LeverCount-3)&amp;" more (tab 2)","")&amp;".")</f>
        <v>[Your paragraph: where value leaks today — waterfall, churn, cost pass-through.]</v>
      </c>
      <c r="E41" s="15" t="n"/>
      <c r="F41" s="15" t="n"/>
      <c r="G41" s="15" t="n"/>
      <c r="H41" s="15" t="n"/>
      <c r="I41" s="15" t="n"/>
      <c r="J41" s="169" t="n"/>
      <c r="K41" s="12" t="n"/>
      <c r="L41" s="12" t="n"/>
      <c r="M41" s="12" t="n"/>
      <c r="N41" s="12" t="n"/>
      <c r="O41" s="12" t="n"/>
      <c r="P41" s="170" t="str">
        <f>LEN(B14)&amp;" / 340"</f>
        <v>80 / 340</v>
      </c>
    </row>
    <row r="42" ht="63.4" customHeight="1">
      <c r="B42" s="167" t="inlineStr">
        <is>
          <t>2 · Financial impact</t>
        </is>
      </c>
      <c r="C42" s="18" t="n"/>
      <c r="D42" s="168" t="str">
        <f>IF(Revenue="","← Enter your revenue on tab 1",IF(PrizeBasisUsed="My levers, bottom-up","Bottom-up from "&amp;LeverCount&amp;" levers: ≈ "&amp;IF(ABS((PrizeUsed))&gt;=1000000,TEXT((PrizeUsed)/1000000,"$0.0")&amp;"M",TEXT((PrizeUsed)/1000,"$#,##0")&amp;"K")&amp;" per year after overlap ("&amp;TEXT(PrizeUsed/Revenue,"0.0%")&amp;" of sales; the 1–2% rule gives "&amp;IF(ABS((PrizeLow))&gt;=1000000,TEXT((PrizeLow)/1000000,"$0.0")&amp;"M",TEXT((PrizeLow)/1000,"$#,##0")&amp;"K")&amp;"–"&amp;IF(ABS((PrizeMid))&gt;=1000000,TEXT((PrizeMid)/1000000,"$0.0")&amp;"M",TEXT((PrizeMid)/1000,"$#,##0")&amp;"K")&amp;").","Conservative "&amp;IF(ABS((PrizeLow))&gt;=1000000,TEXT((PrizeLow)/1000000,"$0.0")&amp;"M",TEXT((PrizeLow)/1000,"$#,##0")&amp;"K")&amp;"–"&amp;IF(ABS((PrizeMid))&gt;=1000000,TEXT((PrizeMid)/1000000,"$0.0")&amp;"M",TEXT((PrizeMid)/1000,"$#,##0")&amp;"K")&amp;" per year (1–2% of "&amp;IF(AddressableShareUsed&lt;1,"addressable ","")&amp;"sales); best-in-class programs reach 2–5%."&amp;IF(LeverCount&gt;0," Bottom-up from "&amp;LeverCount&amp;" levers: ≈ "&amp;IF(ABS((LeverPrize))&gt;=1000000,TEXT((LeverPrize)/1000000,"$0.0")&amp;"M",TEXT((LeverPrize)/1000,"$#,##0")&amp;"K")&amp;"/yr.",""))&amp;" Cost of doing nothing: ≈ "&amp;IF(ABS((PrizeUsed*(1-VolumeHaircutUsed)))&gt;=1000000,TEXT((PrizeUsed*(1-VolumeHaircutUsed))/1000000,"$0.0")&amp;"M",TEXT((PrizeUsed*(1-VolumeHaircutUsed))/1000,"$#,##0")&amp;"K")&amp;" per year of delay (≈ "&amp;IF(ABS((MonthlyDelayCost))&gt;=1000000,TEXT((MonthlyDelayCost)/1000000,"$0.0")&amp;"M",TEXT((MonthlyDelayCost)/1000,"$#,##0")&amp;"K")&amp;" per month).")</f>
        <v>← Enter your revenue on tab 1</v>
      </c>
      <c r="E42" s="15" t="n"/>
      <c r="F42" s="15" t="n"/>
      <c r="G42" s="15" t="n"/>
      <c r="H42" s="15" t="n"/>
      <c r="I42" s="15" t="n"/>
      <c r="J42" s="169" t="n"/>
      <c r="K42" s="12" t="n"/>
      <c r="L42" s="12" t="n"/>
      <c r="M42" s="12" t="n"/>
      <c r="N42" s="12" t="n"/>
      <c r="O42" s="12" t="n"/>
      <c r="P42" s="170" t="str">
        <f>LEN(G14)&amp;" / 340"</f>
        <v>29 / 340</v>
      </c>
    </row>
    <row r="43" ht="63.4" customHeight="1">
      <c r="B43" s="167" t="inlineStr">
        <is>
          <t>3 · Investment &amp; phasing</t>
        </is>
      </c>
      <c r="C43" s="18" t="n"/>
      <c r="D43" s="168" t="str">
        <f>IF(Revenue="","← Enter your revenue on tab 1","One-time "&amp;IF(ABS((LadderTotal))&gt;=1000000,TEXT((LadderTotal)/1000000,"$0.0")&amp;"M",TEXT((LadderTotal)/1000,"$#,##0")&amp;"K")&amp;": "&amp;IF(RouteUsed="Ourselves first","internal first pass "&amp;IF(PlanInternal&gt;0,IF(ABS((PlanInternal))&gt;=1000000,TEXT((PlanInternal)/1000000,"$0.0")&amp;"M",TEXT((PlanInternal)/1000,"$#,##0")&amp;"K"),"(our time)")&amp;" → ","")&amp;IF(PlanDiag&gt;0,"diagnostic "&amp;IF(ABS((PlanDiag))&gt;=1000000,TEXT((PlanDiag)/1000000,"$0.0")&amp;"M",TEXT((PlanDiag)/1000,"$#,##0")&amp;"K")&amp;" → ","")&amp;"sprint "&amp;IF(ABS((PlanSprint))&gt;=1000000,TEXT((PlanSprint)/1000000,"$0.0")&amp;"M",TEXT((PlanSprint)/1000,"$#,##0")&amp;"K")&amp;IF(PlanBuild&gt;0," → build "&amp;IF(ABS((PlanBuild))&gt;=1000000,TEXT((PlanBuild)/1000000,"$0.0")&amp;"M",TEXT((PlanBuild)/1000,"$#,##0")&amp;"K"),"")&amp;IF(N(PlanAdopt)&gt;0," + adoption "&amp;IF(ABS((PlanAdopt))&gt;=1000000,TEXT((PlanAdopt)/1000000,"$0.0")&amp;"M",TEXT((PlanAdopt)/1000,"$#,##0")&amp;"K")&amp;" ("&amp;TEXT(AdoptMultiplierUsed,"0.0")&amp;"× build)","")&amp;IF(N(PlanTeam)&gt;0," + our time "&amp;IF(ABS((PlanTeam))&gt;=1000000,TEXT((PlanTeam)/1000000,"$0.0")&amp;"M",TEXT((PlanTeam)/1000,"$#,##0")&amp;"K"),"")&amp;IF(N(PlanSustain)&gt;0,", then "&amp;TEXT(PlanSustain/1000,"$0.0")&amp;"K/month sustain","")&amp;". Each phase is a gate; "&amp;IF(ISNUMBER(PaybackMonth),"payback ≈ month "&amp;PaybackMonth,"no payback inside 24 months at these inputs")&amp;"; year-one spend covered at "&amp;TEXT(BreakevenCapture,"0%")&amp;" capture.")</f>
        <v>← Enter your revenue on tab 1</v>
      </c>
      <c r="E43" s="15" t="n"/>
      <c r="F43" s="15" t="n"/>
      <c r="G43" s="15" t="n"/>
      <c r="H43" s="15" t="n"/>
      <c r="I43" s="15" t="n"/>
      <c r="J43" s="169" t="n"/>
      <c r="K43" s="12" t="n"/>
      <c r="L43" s="12" t="n"/>
      <c r="M43" s="12" t="n"/>
      <c r="N43" s="12" t="n"/>
      <c r="O43" s="12" t="n"/>
      <c r="P43" s="170" t="str">
        <f>LEN(L14)&amp;" / 340"</f>
        <v>29 / 340</v>
      </c>
    </row>
    <row r="44" ht="63.4" customHeight="1">
      <c r="B44" s="167" t="inlineStr">
        <is>
          <t>4 · Risk &amp; certainty</t>
        </is>
      </c>
      <c r="C44" s="18" t="n"/>
      <c r="D44" s="168" t="str">
        <f>"Baseline = [period] agreed with Finance; cost pass-through and tariffs excluded; measured vs. control where possible. "&amp;GatesLine</f>
        <v>Baseline = [period] agreed with Finance; cost pass-through and tariffs excluded; measured vs. control where possible. Gates: set the thresholds above; they print in Canvas block 4.</v>
      </c>
      <c r="E44" s="15" t="n"/>
      <c r="F44" s="15" t="n"/>
      <c r="G44" s="15" t="n"/>
      <c r="H44" s="15" t="n"/>
      <c r="I44" s="15" t="n"/>
      <c r="J44" s="169" t="n"/>
      <c r="K44" s="12" t="n"/>
      <c r="L44" s="12" t="n"/>
      <c r="M44" s="12" t="n"/>
      <c r="N44" s="12" t="n"/>
      <c r="O44" s="12" t="n"/>
      <c r="P44" s="170" t="str">
        <f>LEN(B18)&amp;" / 340"</f>
        <v>180 / 340</v>
      </c>
    </row>
    <row r="45" ht="63.4" customHeight="1">
      <c r="B45" s="167" t="inlineStr">
        <is>
          <t>6 · Timeline</t>
        </is>
      </c>
      <c r="C45" s="18" t="n"/>
      <c r="D45" s="168" t="str">
        <f>IF(RouteUsed="Ourselves first","Oct–Nov "&amp;(BudgetYear-1)&amp;": internal first pass (our time) + pre-wire the CFO · Nov: defend · Dec: lock · "&amp;TEXT(EDATE(DATE(StartYearUsed,StartMonthUsed,1),DurInternalUsed),"mmm yyyy")&amp;": diagnostic go/no-go","Sep: socialize + size · Oct: draft the line item, pre-wire the CFO · Nov: defend · Dec: lock · "&amp;TEXT(DATE(StartYearUsed,StartMonthUsed,1),"mmm yyyy")&amp;": "&amp;IF(AND(Revenue&lt;&gt;"",N(PlanDiag)=0),"focused sprint starts","diagnostic starts"))</f>
        <v>Sep: socialize + size · Oct: draft the line item, pre-wire the CFO · Nov: defend · Dec: lock · Jan 2027: diagnostic starts</v>
      </c>
      <c r="E45" s="15" t="n"/>
      <c r="F45" s="15" t="n"/>
      <c r="G45" s="15" t="n"/>
      <c r="H45" s="15" t="n"/>
      <c r="I45" s="15" t="n"/>
      <c r="J45" s="169" t="n"/>
      <c r="K45" s="12" t="n"/>
      <c r="L45" s="12" t="n"/>
      <c r="M45" s="12" t="n"/>
      <c r="N45" s="12" t="n"/>
      <c r="O45" s="12" t="n"/>
      <c r="P45" s="170" t="str">
        <f>LEN(L18)&amp;" / 340"</f>
        <v>122 / 340</v>
      </c>
    </row>
    <row r="46" ht="63.4" customHeight="1">
      <c r="B46" s="167" t="inlineStr">
        <is>
          <t>7 · Success metrics</t>
        </is>
      </c>
      <c r="C46" s="18" t="n"/>
      <c r="D46" s="168" t="str">
        <f>"Net price realization +"&amp;NPRTarget&amp;" bps"&amp;IF(Revenue="",""," (≈ "&amp;IF(ABS((NPRDollars))&gt;=1000000,TEXT((NPRDollars)/1000000,"$0.0")&amp;"M",TEXT((NPRDollars)/1000,"$#,##0")&amp;"K")&amp;"/yr)")&amp;" · pocket margin +"&amp;PMTarget&amp;" bps"&amp;IF(Revenue="",""," (≈ "&amp;IF(ABS((PMDollars))&gt;=1000000,TEXT((PMDollars)/1000000,"$0.0")&amp;"M",TEXT((PMDollars)/1000,"$#,##0")&amp;"K")&amp;"/yr)")&amp;" · adoption "&amp;TEXT(AdoptTarget,"0%")&amp;" · first proven win inside "&amp;TTVTarget&amp;" weeks"</f>
        <v>Net price realization +50 bps · pocket margin +40 bps · adoption 80% · first proven win inside 12 weeks</v>
      </c>
      <c r="E46" s="15" t="n"/>
      <c r="F46" s="15" t="n"/>
      <c r="G46" s="15" t="n"/>
      <c r="H46" s="15" t="n"/>
      <c r="I46" s="15" t="n"/>
      <c r="J46" s="169" t="n"/>
      <c r="K46" s="12" t="n"/>
      <c r="L46" s="12" t="n"/>
      <c r="M46" s="12" t="n"/>
      <c r="N46" s="12" t="n"/>
      <c r="O46" s="12" t="n"/>
      <c r="P46" s="170" t="str">
        <f>LEN(B30)&amp;" / 340"</f>
        <v>103 / 340</v>
      </c>
    </row>
    <row r="47" ht="75.2" customHeight="1">
      <c r="B47" s="167" t="inlineStr">
        <is>
          <t>The Ask</t>
        </is>
      </c>
      <c r="C47" s="18" t="n"/>
      <c r="D47" s="168" t="str">
        <f>IF(Revenue="","← Enter your revenue on tab 1",IF(RouteUsed="Ourselves first","Approve an internal first pass"&amp;IF(InitiativeName=""," "," for "&amp;InitiativeName&amp;" ")&amp;"led by "&amp;IF(Owner="","________",Owner)&amp;" over "&amp;(DurInternalUsed*4)&amp;" weeks to size the prize from our own data, with a go/no-go on "&amp;IF(PlanDiag&gt;0,"a "&amp;IF(ABS((PlanDiag))&gt;=1000000,TEXT((PlanDiag)/1000000,"$0.0")&amp;"M",TEXT((PlanDiag)/1000,"$#,##0")&amp;"K")&amp;" diagnostic","a "&amp;IF(ABS((PlanSprint))&gt;=1000000,TEXT((PlanSprint)/1000000,"$0.0")&amp;"M",TEXT((PlanSprint)/1000,"$#,##0")&amp;"K")&amp;" focused sprint")&amp;" in "&amp;TEXT(EDATE(DATE(StartYearUsed,StartMonthUsed,1),DurInternalUsed),"mmmm yyyy")&amp;". The full program (≈ "&amp;IF(ABS((LadderTotal))&gt;=1000000,TEXT((LadderTotal)/1000000,"$0.0")&amp;"M",TEXT((LadderTotal)/1000,"$#,##0")&amp;"K")&amp;" one-time"&amp;IF(N(PlanSustain)&gt;0," plus "&amp;TEXT(PlanSustain/1000,"$0.0")&amp;"K/month sustain","")&amp;")"&amp;" proceeds only if each gate clears — against a "&amp;IF(ABS((PrizeUsed))&gt;=1000000,TEXT((PrizeUsed)/1000000,"$0.0")&amp;"M",TEXT((PrizeUsed)/1000,"$#,##0")&amp;"K")&amp;"+/yr opportunity"&amp;".",IF(PlanDiag&gt;0,"Approve a "&amp;IF(ABS((PlanDiag))&gt;=1000000,TEXT((PlanDiag)/1000000,"$0.0")&amp;"M",TEXT((PlanDiag)/1000,"$#,##0")&amp;"K")&amp;" diagnostic (2–6 weeks)"&amp;IF(InitiativeName=""," "," for "&amp;InitiativeName&amp;" ")&amp;"starting "&amp;TEXT(DATE(StartYearUsed,StartMonthUsed,1),"mmmm yyyy")&amp;". Go/no-go on the "&amp;IF(ABS((PlanSprint))&gt;=1000000,TEXT((PlanSprint)/1000000,"$0.0")&amp;"M",TEXT((PlanSprint)/1000,"$#,##0")&amp;"K")&amp;" sprint at its proof gate; the full program (≈ "&amp;IF(ABS((LadderTotal))&gt;=1000000,TEXT((LadderTotal)/1000000,"$0.0")&amp;"M",TEXT((LadderTotal)/1000,"$#,##0")&amp;"K")&amp;" one-time"&amp;IF(N(PlanSustain)&gt;0," plus "&amp;TEXT(PlanSustain/1000,"$0.0")&amp;"K/month sustain","")&amp;")"&amp;" proceeds only if each gate clears — against a "&amp;IF(ABS((PrizeUsed))&gt;=1000000,TEXT((PrizeUsed)/1000000,"$0.0")&amp;"M",TEXT((PrizeUsed)/1000,"$#,##0")&amp;"K")&amp;"+/yr opportunity"&amp;IF(ISNUMBER(PaybackMonth),", payback ≈ month "&amp;PaybackMonth,"")&amp;".","Approve a "&amp;IF(ABS((PlanSprint))&gt;=1000000,TEXT((PlanSprint)/1000000,"$0.0")&amp;"M",TEXT((PlanSprint)/1000,"$#,##0")&amp;"K")&amp;" focused sprint (6–12 weeks)"&amp;IF(InitiativeName=""," "," for "&amp;InitiativeName&amp;" ")&amp;"starting "&amp;TEXT(DATE(StartYearUsed,StartMonthUsed,1),"mmmm yyyy")&amp;". Go/no-go on the "&amp;IF(ABS((PlanBuild))&gt;=1000000,TEXT((PlanBuild)/1000000,"$0.0")&amp;"M",TEXT((PlanBuild)/1000,"$#,##0")&amp;"K")&amp;" build at its proof gate; the full program (≈ "&amp;IF(ABS((LadderTotal))&gt;=1000000,TEXT((LadderTotal)/1000000,"$0.0")&amp;"M",TEXT((LadderTotal)/1000,"$#,##0")&amp;"K")&amp;" one-time"&amp;IF(N(PlanSustain)&gt;0," plus "&amp;TEXT(PlanSustain/1000,"$0.0")&amp;"K/month sustain","")&amp;")"&amp;" proceeds only if each gate clears — against a "&amp;IF(ABS((PrizeUsed))&gt;=1000000,TEXT((PrizeUsed)/1000000,"$0.0")&amp;"M",TEXT((PrizeUsed)/1000,"$#,##0")&amp;"K")&amp;"+/yr opportunity"&amp;IF(ISNUMBER(PaybackMonth),", payback ≈ month "&amp;PaybackMonth,"")&amp;".")))</f>
        <v>← Enter your revenue on tab 1</v>
      </c>
      <c r="E47" s="15" t="n"/>
      <c r="F47" s="15" t="n"/>
      <c r="G47" s="15" t="n"/>
      <c r="H47" s="15" t="n"/>
      <c r="I47" s="15" t="n"/>
      <c r="J47" s="169" t="n"/>
      <c r="K47" s="12" t="n"/>
      <c r="L47" s="12" t="n"/>
      <c r="M47" s="12" t="n"/>
      <c r="N47" s="12" t="n"/>
      <c r="O47" s="12" t="n"/>
      <c r="P47" s="170" t="str">
        <f>LEN(B33)&amp;" / 300"</f>
        <v>29 / 300</v>
      </c>
    </row>
    <row r="48" ht="26.5" customHeight="1">
      <c r="B48" s="16" t="inlineStr">
        <is>
          <t>Names for block 5 go in the green cells inside the Canvas, and “Prepared for” is the white cell in the header. Keep each block to about 340 characters (The Ask: about 300) so it fits the printed box. Replace the bracketed placeholders in block 1 and block 4 ([period]); Q1 and Q2 stay open until you do.</t>
        </is>
      </c>
    </row>
    <row r="49">
      <c r="B49" s="85" t="inlineStr">
        <is>
          <t>Mirrors (numeric, for the band and bar)</t>
        </is>
      </c>
      <c r="C49" s="111">
        <f>IF(Revenue="",0,1)</f>
        <v>0</v>
      </c>
      <c r="D49" s="111">
        <f>N(DurInternalUsed)</f>
        <v>0</v>
      </c>
      <c r="E49" s="111">
        <f>N(PhaseStartDiag)</f>
        <v>1</v>
      </c>
      <c r="F49" s="111">
        <f>N(PhaseStartSprint)</f>
        <v>2</v>
      </c>
      <c r="G49" s="111">
        <f>N(PhaseStartBuild)</f>
        <v>5</v>
      </c>
      <c r="H49" s="111">
        <f>N(SustainStartMonth)</f>
        <v>9</v>
      </c>
      <c r="I49" s="111">
        <f>N(PlanDiag)</f>
        <v>0</v>
      </c>
      <c r="J49" s="111">
        <f>N(PlanBuild)</f>
        <v>0</v>
      </c>
      <c r="K49" s="111">
        <f>IF(ISNUMBER(PaybackMonth),PaybackMonth,0)</f>
        <v>0</v>
      </c>
      <c r="L49" s="111">
        <f>N(DurSprintUsed)</f>
        <v>3</v>
      </c>
      <c r="M49" s="111">
        <f>N(Y1Net)</f>
        <v>0</v>
      </c>
      <c r="N49" s="111">
        <f>N(DurDiagUsed)</f>
        <v>1</v>
      </c>
      <c r="O49" s="111">
        <f>N(PlanSustain)</f>
        <v>0</v>
      </c>
    </row>
    <row r="50">
      <c r="B50" s="85" t="inlineStr">
        <is>
          <t>Month numbers</t>
        </is>
      </c>
      <c r="E50" s="111" t="n">
        <v>1</v>
      </c>
      <c r="F50" s="111" t="n">
        <v>2</v>
      </c>
      <c r="G50" s="111" t="n">
        <v>3</v>
      </c>
      <c r="H50" s="111" t="n">
        <v>4</v>
      </c>
      <c r="I50" s="111" t="n">
        <v>5</v>
      </c>
      <c r="J50" s="111" t="n">
        <v>6</v>
      </c>
      <c r="K50" s="111" t="n">
        <v>7</v>
      </c>
      <c r="L50" s="111" t="n">
        <v>8</v>
      </c>
      <c r="M50" s="111" t="n">
        <v>9</v>
      </c>
      <c r="N50" s="111" t="n">
        <v>10</v>
      </c>
      <c r="O50" s="111" t="n">
        <v>11</v>
      </c>
      <c r="P50" s="111" t="n">
        <v>12</v>
      </c>
    </row>
    <row r="51">
      <c r="B51" s="85" t="inlineStr">
        <is>
          <t>Four-questions check (helper)</t>
        </is>
      </c>
      <c r="C51" s="111" t="b">
        <f>AND(Revenue&lt;&gt;"",ISERROR(FIND("[Your paragraph",CanvasOpp)))</f>
        <v>0</v>
      </c>
      <c r="D51" s="111" t="b">
        <f>AND(ISERROR(FIND("[period]",CanvasRisk)),ISNUMBER(PaybackMonth))</f>
        <v>0</v>
      </c>
      <c r="E51" s="111" t="b">
        <f>AND(Owner&lt;&gt;"",Sponsor&lt;&gt;"")</f>
        <v>0</v>
      </c>
      <c r="F51" s="111" t="b">
        <f>Revenue&lt;&gt;""</f>
        <v>0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82">
    <mergeCell ref="G21:H21"/>
    <mergeCell ref="G12:K12"/>
    <mergeCell ref="B16:F16"/>
    <mergeCell ref="D41:I41"/>
    <mergeCell ref="L16:P16"/>
    <mergeCell ref="B6:K6"/>
    <mergeCell ref="D43:I43"/>
    <mergeCell ref="J41:O41"/>
    <mergeCell ref="N9:P9"/>
    <mergeCell ref="G13:K13"/>
    <mergeCell ref="G18:H18"/>
    <mergeCell ref="J43:O43"/>
    <mergeCell ref="K10:M10"/>
    <mergeCell ref="J42:O42"/>
    <mergeCell ref="B36:P36"/>
    <mergeCell ref="L18:P22"/>
    <mergeCell ref="B40:C40"/>
    <mergeCell ref="J44:O44"/>
    <mergeCell ref="G20:H20"/>
    <mergeCell ref="K9:M9"/>
    <mergeCell ref="G16:K16"/>
    <mergeCell ref="D45:I45"/>
    <mergeCell ref="E35:G35"/>
    <mergeCell ref="G22:H22"/>
    <mergeCell ref="B41:C41"/>
    <mergeCell ref="B39:P39"/>
    <mergeCell ref="B48:P48"/>
    <mergeCell ref="I22:K22"/>
    <mergeCell ref="B1:P1"/>
    <mergeCell ref="L13:P13"/>
    <mergeCell ref="I21:K21"/>
    <mergeCell ref="B10:D10"/>
    <mergeCell ref="N10:P10"/>
    <mergeCell ref="B9:D9"/>
    <mergeCell ref="J47:O47"/>
    <mergeCell ref="B17:F17"/>
    <mergeCell ref="B33:P33"/>
    <mergeCell ref="D42:I42"/>
    <mergeCell ref="G14:K14"/>
    <mergeCell ref="H35:J35"/>
    <mergeCell ref="D44:I44"/>
    <mergeCell ref="L6:M6"/>
    <mergeCell ref="K35:M35"/>
    <mergeCell ref="E10:G10"/>
    <mergeCell ref="E9:G9"/>
    <mergeCell ref="J45:O45"/>
    <mergeCell ref="B43:C43"/>
    <mergeCell ref="G17:K17"/>
    <mergeCell ref="B29:P29"/>
    <mergeCell ref="L12:P12"/>
    <mergeCell ref="B42:C42"/>
    <mergeCell ref="L14:P14"/>
    <mergeCell ref="I20:K20"/>
    <mergeCell ref="B13:F13"/>
    <mergeCell ref="J46:O46"/>
    <mergeCell ref="B44:C44"/>
    <mergeCell ref="B35:D35"/>
    <mergeCell ref="B32:P32"/>
    <mergeCell ref="N35:P35"/>
    <mergeCell ref="B7:P7"/>
    <mergeCell ref="H10:J10"/>
    <mergeCell ref="B45:C45"/>
    <mergeCell ref="J40:O40"/>
    <mergeCell ref="H9:J9"/>
    <mergeCell ref="B47:C47"/>
    <mergeCell ref="L17:P17"/>
    <mergeCell ref="B2:P2"/>
    <mergeCell ref="B46:C46"/>
    <mergeCell ref="I18:K18"/>
    <mergeCell ref="D47:I47"/>
    <mergeCell ref="B12:F12"/>
    <mergeCell ref="G19:H19"/>
    <mergeCell ref="B14:F14"/>
    <mergeCell ref="B18:F22"/>
    <mergeCell ref="B24:D24"/>
    <mergeCell ref="N6:P6"/>
    <mergeCell ref="B30:P30"/>
    <mergeCell ref="I19:K19"/>
    <mergeCell ref="B26:D26"/>
    <mergeCell ref="D46:I46"/>
    <mergeCell ref="D40:I40"/>
    <mergeCell ref="B27:D27"/>
  </mergeCells>
  <conditionalFormatting sqref="K9:M9">
    <cfRule type="expression" priority="1" dxfId="3" stopIfTrue="0">
      <formula>$M$49&lt;0</formula>
    </cfRule>
  </conditionalFormatting>
  <conditionalFormatting sqref="E25:P26">
    <cfRule type="expression" priority="2" dxfId="4" stopIfTrue="0">
      <formula>AND($C$49=1,$D$49&gt;0,E$50&lt;$E$49)</formula>
    </cfRule>
    <cfRule type="expression" priority="3" dxfId="5" stopIfTrue="0">
      <formula>AND($C$49=1,$I$49&gt;0,$N$49&gt;0,E$50&gt;=$E$49,E$50&lt;$F$49)</formula>
    </cfRule>
    <cfRule type="expression" priority="4" dxfId="6" stopIfTrue="0">
      <formula>AND($C$49=1,$L$49&gt;0,E$50&gt;=$F$49,E$50&lt;$G$49)</formula>
    </cfRule>
    <cfRule type="expression" priority="5" dxfId="7" stopIfTrue="0">
      <formula>AND($C$49=1,$J$49&gt;0,E$50&gt;=$G$49,E$50&lt;$H$49)</formula>
    </cfRule>
    <cfRule type="expression" priority="6" dxfId="8" stopIfTrue="0">
      <formula>AND($C$49=1,$J$49=0,E$50&gt;=$G$49,E$50&lt;$H$49)</formula>
    </cfRule>
    <cfRule type="expression" priority="7" dxfId="0" stopIfTrue="0">
      <formula>AND($C$49=1,$O$49&gt;0,E$50&gt;=$H$49)</formula>
    </cfRule>
  </conditionalFormatting>
  <conditionalFormatting sqref="E27:P27">
    <cfRule type="expression" priority="8" dxfId="7" stopIfTrue="0">
      <formula>AND($C$49=1,$K$49&gt;0,E$50=$K$49)</formula>
    </cfRule>
    <cfRule type="expression" priority="9" dxfId="9" stopIfTrue="0">
      <formula>AND($C$49=1,$K$49&gt;0,E$50&gt;$K$49)</formula>
    </cfRule>
    <cfRule type="expression" priority="10" dxfId="10" stopIfTrue="0">
      <formula>AND($C$49=1,OR($K$49=0,E$50&lt;$K$49))</formula>
    </cfRule>
  </conditionalFormatting>
  <conditionalFormatting sqref="E35:G35">
    <cfRule type="expression" priority="11" dxfId="9" stopIfTrue="0">
      <formula>$C$51=TRUE</formula>
    </cfRule>
  </conditionalFormatting>
  <conditionalFormatting sqref="H35:J35">
    <cfRule type="expression" priority="12" dxfId="9" stopIfTrue="0">
      <formula>$D$51=TRUE</formula>
    </cfRule>
  </conditionalFormatting>
  <conditionalFormatting sqref="K35:M35">
    <cfRule type="expression" priority="13" dxfId="9" stopIfTrue="0">
      <formula>$E$51=TRUE</formula>
    </cfRule>
  </conditionalFormatting>
  <conditionalFormatting sqref="N35:P35">
    <cfRule type="expression" priority="14" dxfId="9" stopIfTrue="0">
      <formula>$F$51=TRUE</formula>
    </cfRule>
  </conditionalFormatting>
  <conditionalFormatting sqref="P41">
    <cfRule type="expression" priority="15" dxfId="11" stopIfTrue="0">
      <formula>LEN(B14)&gt;340</formula>
    </cfRule>
  </conditionalFormatting>
  <conditionalFormatting sqref="P42">
    <cfRule type="expression" priority="16" dxfId="11" stopIfTrue="0">
      <formula>LEN(G14)&gt;340</formula>
    </cfRule>
  </conditionalFormatting>
  <conditionalFormatting sqref="P43">
    <cfRule type="expression" priority="17" dxfId="11" stopIfTrue="0">
      <formula>LEN(L14)&gt;340</formula>
    </cfRule>
  </conditionalFormatting>
  <conditionalFormatting sqref="P44">
    <cfRule type="expression" priority="18" dxfId="11" stopIfTrue="0">
      <formula>LEN(B18)&gt;340</formula>
    </cfRule>
  </conditionalFormatting>
  <conditionalFormatting sqref="P45">
    <cfRule type="expression" priority="19" dxfId="11" stopIfTrue="0">
      <formula>LEN(L18)&gt;340</formula>
    </cfRule>
  </conditionalFormatting>
  <conditionalFormatting sqref="P46">
    <cfRule type="expression" priority="20" dxfId="11" stopIfTrue="0">
      <formula>LEN(B30)&gt;340</formula>
    </cfRule>
  </conditionalFormatting>
  <conditionalFormatting sqref="P47">
    <cfRule type="expression" priority="21" dxfId="11" stopIfTrue="0">
      <formula>LEN(B33)&gt;300</formula>
    </cfRule>
  </conditionalFormatting>
  <hyperlinks>
    <hyperlink ref="B4" location="'Start Here'!A1" display="← Start Here"/>
    <hyperlink ref="D4" location="'3b Payback'!A1" display="← Previous"/>
    <hyperlink ref="F4" location="'5 Stakeholders'!A1" display="Next →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7DB73E"/>
    <outlinePr summaryBelow="1" summaryRight="1"/>
    <pageSetUpPr fitToPage="1"/>
  </sheetPr>
  <dimension ref="A1:J26"/>
  <sheetViews>
    <sheetView showGridLines="0" zoomScale="10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4" customWidth="1" min="1" max="1"/>
    <col width="4" customWidth="1" min="2" max="2"/>
    <col width="13" customWidth="1" min="3" max="3"/>
    <col width="30" customWidth="1" min="4" max="4"/>
    <col width="26" customWidth="1" min="5" max="5"/>
    <col width="28" customWidth="1" min="6" max="6"/>
    <col width="32" customWidth="1" min="7" max="7"/>
    <col width="13" customWidth="1" min="8" max="8"/>
    <col width="13" customWidth="1" min="9" max="9"/>
    <col width="2.4" customWidth="1" min="10" max="10"/>
  </cols>
  <sheetData>
    <row r="1" ht="30" customHeight="1">
      <c r="A1" s="1" t="n"/>
      <c r="B1" s="2" t="inlineStr">
        <is>
          <t>Step 5 — Five Stakeholders, and the CFO Objections</t>
        </is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20" customHeight="1">
      <c r="A2" s="1" t="n"/>
      <c r="B2" s="3" t="inlineStr">
        <is>
          <t>Answers “Who owns it?” — approval is political, not just analytical. Win the CFO with the case and Sales with the design, before the meeting.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16" customHeight="1">
      <c r="C4" s="5" t="inlineStr">
        <is>
          <t>← Start Here</t>
        </is>
      </c>
      <c r="D4" s="5" t="inlineStr">
        <is>
          <t>← Previous</t>
        </is>
      </c>
      <c r="E4" s="5" t="inlineStr">
        <is>
          <t>Next →</t>
        </is>
      </c>
    </row>
    <row r="5" ht="4" customHeight="1"/>
    <row r="6" ht="17" customHeight="1">
      <c r="B6" s="6" t="inlineStr">
        <is>
          <t>THE FIVE PEOPLE YOU MUST WIN · in pre-wire order</t>
        </is>
      </c>
      <c r="C6" s="7" t="n"/>
      <c r="D6" s="7" t="n"/>
      <c r="E6" s="7" t="n"/>
      <c r="F6" s="7" t="n"/>
      <c r="G6" s="7" t="n"/>
      <c r="H6" s="7" t="n"/>
      <c r="I6" s="7" t="n"/>
    </row>
    <row r="7" ht="20" customHeight="1">
      <c r="B7" s="16" t="inlineStr">
        <is>
          <t>Pre-wire order: your executive sponsor sees the Canvas and the ask first, then the five below in this order. The budget meeting is the confirmation, not the pitch.</t>
        </is>
      </c>
    </row>
    <row r="8" ht="18" customHeight="1">
      <c r="B8" s="17" t="inlineStr">
        <is>
          <t>#</t>
        </is>
      </c>
      <c r="C8" s="17" t="inlineStr">
        <is>
          <t>Stakeholder</t>
        </is>
      </c>
      <c r="D8" s="17" t="inlineStr">
        <is>
          <t>The question they're really asking</t>
        </is>
      </c>
      <c r="E8" s="17" t="inlineStr">
        <is>
          <t>Win them with</t>
        </is>
      </c>
      <c r="F8" s="17" t="inlineStr">
        <is>
          <t>What they see</t>
        </is>
      </c>
      <c r="G8" s="17" t="inlineStr">
        <is>
          <t>Your answer</t>
        </is>
      </c>
      <c r="H8" s="17" t="inlineStr">
        <is>
          <t>Owner</t>
        </is>
      </c>
      <c r="I8" s="17" t="inlineStr">
        <is>
          <t>Status</t>
        </is>
      </c>
    </row>
    <row r="9" ht="30" customHeight="1">
      <c r="B9" s="171" t="n">
        <v>1</v>
      </c>
      <c r="C9" s="67" t="inlineStr">
        <is>
          <t>CFO</t>
        </is>
      </c>
      <c r="D9" s="20" t="inlineStr">
        <is>
          <t>“How much, how certain, and when is payback?”</t>
        </is>
      </c>
      <c r="E9" s="20" t="inlineStr">
        <is>
          <t>Baseline, phased ask, proof gates they can audit</t>
        </is>
      </c>
      <c r="F9" s="21" t="inlineStr">
        <is>
          <t>The Canvas + the 24-month payback view + the baseline method</t>
        </is>
      </c>
      <c r="G9" s="169" t="n"/>
      <c r="H9" s="172" t="n"/>
      <c r="I9" s="72" t="inlineStr">
        <is>
          <t>Not started</t>
        </is>
      </c>
    </row>
    <row r="10" ht="30" customHeight="1">
      <c r="B10" s="171" t="n">
        <v>2</v>
      </c>
      <c r="C10" s="67" t="inlineStr">
        <is>
          <t>Sales</t>
        </is>
      </c>
      <c r="D10" s="20" t="inlineStr">
        <is>
          <t>“Will this break my deals — and my comp plan? Will my team revolt?”</t>
        </is>
      </c>
      <c r="E10" s="20" t="inlineStr">
        <is>
          <t>Co-design the guardrails; track win rate openly</t>
        </is>
      </c>
      <c r="F10" s="21" t="inlineStr">
        <is>
          <t>The guardrail design and the comp-plan impact</t>
        </is>
      </c>
      <c r="G10" s="169" t="n"/>
      <c r="H10" s="172" t="n"/>
      <c r="I10" s="72" t="inlineStr">
        <is>
          <t>Not started</t>
        </is>
      </c>
    </row>
    <row r="11" ht="30" customHeight="1">
      <c r="B11" s="171" t="n">
        <v>3</v>
      </c>
      <c r="C11" s="67" t="inlineStr">
        <is>
          <t>Operations</t>
        </is>
      </c>
      <c r="D11" s="20" t="inlineStr">
        <is>
          <t>“Can we execute this without chaos on the floor?”</t>
        </is>
      </c>
      <c r="E11" s="20" t="inlineStr">
        <is>
          <t>Phase the rollout around their calendar</t>
        </is>
      </c>
      <c r="F11" s="21" t="inlineStr">
        <is>
          <t>The data-extract list and the system dependencies</t>
        </is>
      </c>
      <c r="G11" s="169" t="n"/>
      <c r="H11" s="172" t="n"/>
      <c r="I11" s="72" t="inlineStr">
        <is>
          <t>Not started</t>
        </is>
      </c>
    </row>
    <row r="12" ht="30" customHeight="1">
      <c r="B12" s="171" t="n">
        <v>4</v>
      </c>
      <c r="C12" s="67" t="inlineStr">
        <is>
          <t>IT / Data</t>
        </is>
      </c>
      <c r="D12" s="20" t="inlineStr">
        <is>
          <t>“Whose data, whose systems, whose backlog — and what shadow IT and infrastructure does this add?”</t>
        </is>
      </c>
      <c r="E12" s="20" t="inlineStr">
        <is>
          <t>The diagnostic tests the data first; build-vs-buy answered</t>
        </is>
      </c>
      <c r="F12" s="21" t="inlineStr">
        <is>
          <t>The data-extract list and the system dependencies</t>
        </is>
      </c>
      <c r="G12" s="169" t="n"/>
      <c r="H12" s="172" t="n"/>
      <c r="I12" s="72" t="inlineStr">
        <is>
          <t>Not started</t>
        </is>
      </c>
    </row>
    <row r="13" ht="30" customHeight="1">
      <c r="B13" s="171" t="n">
        <v>5</v>
      </c>
      <c r="C13" s="67" t="inlineStr">
        <is>
          <t>CEO</t>
        </is>
      </c>
      <c r="D13" s="20" t="inlineStr">
        <is>
          <t>“Does this fit the growth story I'm telling the board?”</t>
        </is>
      </c>
      <c r="E13" s="20" t="inlineStr">
        <is>
          <t>Tie it to the growth story; put one name on it</t>
        </is>
      </c>
      <c r="F13" s="21" t="inlineStr">
        <is>
          <t>The one-page Canvas, as confirmation</t>
        </is>
      </c>
      <c r="G13" s="169" t="n"/>
      <c r="H13" s="172" t="n"/>
      <c r="I13" s="72" t="inlineStr">
        <is>
          <t>Not started</t>
        </is>
      </c>
    </row>
    <row r="14" ht="8" customHeight="1"/>
    <row r="15" ht="17" customHeight="1">
      <c r="B15" s="6" t="inlineStr">
        <is>
          <t>THE CFO OBJECTIONS — AND WHAT I'D SAY</t>
        </is>
      </c>
      <c r="C15" s="7" t="n"/>
      <c r="D15" s="7" t="n"/>
      <c r="E15" s="7" t="n"/>
      <c r="F15" s="7" t="n"/>
      <c r="G15" s="7" t="n"/>
      <c r="H15" s="7" t="n"/>
      <c r="I15" s="7" t="n"/>
    </row>
    <row r="16" ht="18" customHeight="1">
      <c r="B16" s="17" t="inlineStr">
        <is>
          <t>#</t>
        </is>
      </c>
      <c r="C16" s="17" t="inlineStr">
        <is>
          <t>Objection</t>
        </is>
      </c>
      <c r="D16" s="7" t="n"/>
      <c r="E16" s="17" t="inlineStr">
        <is>
          <t>What I'd say</t>
        </is>
      </c>
      <c r="F16" s="7" t="n"/>
      <c r="G16" s="17" t="inlineStr">
        <is>
          <t>My number (from your inputs)</t>
        </is>
      </c>
      <c r="H16" s="17" t="inlineStr">
        <is>
          <t>My version</t>
        </is>
      </c>
      <c r="I16" s="7" t="n"/>
    </row>
    <row r="17" ht="44" customHeight="1">
      <c r="B17" s="171" t="n">
        <v>1</v>
      </c>
      <c r="C17" s="67" t="inlineStr">
        <is>
          <t>“We tried pricing initiatives before.”</t>
        </is>
      </c>
      <c r="D17" s="18" t="n"/>
      <c r="E17" s="20" t="inlineStr">
        <is>
          <t>That's exactly why this is phased: a diagnostic first, then stage gates the program has to clear before we scale anything.</t>
        </is>
      </c>
      <c r="F17" s="18" t="n"/>
      <c r="G17" s="173" t="str">
        <f>IF(Revenue="","← Enter your revenue on tab 1","That's why this is phased: a "&amp;IF(PlanDiag&gt;0,IF(ABS((PlanDiag))&gt;=1000000,TEXT((PlanDiag)/1000000,"$0.0")&amp;"M",TEXT((PlanDiag)/1000,"$#,##0")&amp;"K")&amp;" diagnostic gate",IF(ABS((PlanSprint))&gt;=1000000,TEXT((PlanSprint)/1000000,"$0.0")&amp;"M",TEXT((PlanSprint)/1000,"$#,##0")&amp;"K")&amp;" focused-sprint gate")&amp;" before any bigger check — "&amp;GateDiagText&amp;".")</f>
        <v>← Enter your revenue on tab 1</v>
      </c>
      <c r="H17" s="169" t="n"/>
      <c r="I17" s="12" t="n"/>
    </row>
    <row r="18" ht="44" customHeight="1">
      <c r="B18" s="171" t="n">
        <v>2</v>
      </c>
      <c r="C18" s="67" t="inlineStr">
        <is>
          <t>“We don't have the bandwidth.”</t>
        </is>
      </c>
      <c r="D18" s="18" t="n"/>
      <c r="E18" s="20" t="inlineStr">
        <is>
          <t>The diagnostic runs on a handful of data extracts over two to six weeks. It asks hours of our team's time, not weeks.</t>
        </is>
      </c>
      <c r="F18" s="18" t="n"/>
      <c r="G18" s="173" t="str">
        <f>IF(BandwidthHours="","The diagnostic runs on a handful of data extracts over 2–6 weeks. It asks hours of our team's time, not weeks.","The diagnostic takes 2–6 weeks. Our team's part is "&amp;BandwidthHours&amp;": hours, not weeks.")</f>
        <v>The diagnostic takes 2–6 weeks. Our team's part is ~10–15 hours across three data extracts: hours, not weeks.</v>
      </c>
      <c r="H18" s="169" t="n"/>
      <c r="I18" s="12" t="n"/>
    </row>
    <row r="19" ht="44" customHeight="1">
      <c r="B19" s="171" t="n">
        <v>3</v>
      </c>
      <c r="C19" s="67" t="inlineStr">
        <is>
          <t>“Show me the payback.”</t>
        </is>
      </c>
      <c r="D19" s="18" t="n"/>
      <c r="E19" s="20" t="inlineStr">
        <is>
          <t>Value is tracked from a baseline we agree with you up front, with payback targeted inside the first year — the monthly view is on tab 3b.</t>
        </is>
      </c>
      <c r="F19" s="18" t="n"/>
      <c r="G19" s="173" t="str">
        <f>IF(Revenue="","← Enter your revenue on tab 1","We track it from a baseline agreed up front: "&amp;IF(ISNUMBER(PaybackMonth),"payback ≈ month "&amp;PaybackMonth,"no payback inside 24 months at today's inputs")&amp;", year-one net "&amp;IF(ABS((Y1Net))&gt;=1000000,TEXT((Y1Net)/1000000,"$0.0")&amp;"M",TEXT((Y1Net)/1000,"$#,##0")&amp;"K")&amp;", and year-one spend is covered if we capture "&amp;TEXT(BreakevenCapture,"0%")&amp;" of the planning prize.")</f>
        <v>← Enter your revenue on tab 1</v>
      </c>
      <c r="H19" s="169" t="n"/>
      <c r="I19" s="12" t="n"/>
    </row>
    <row r="20" ht="44" customHeight="1">
      <c r="B20" s="171" t="n">
        <v>4</v>
      </c>
      <c r="C20" s="67" t="inlineStr">
        <is>
          <t>“Our data isn't ready.”</t>
        </is>
      </c>
      <c r="D20" s="18" t="n"/>
      <c r="E20" s="20" t="inlineStr">
        <is>
          <t>That's what the diagnostic tells us — what today's data supports — before we write any bigger check.</t>
        </is>
      </c>
      <c r="F20" s="18" t="n"/>
      <c r="G20" s="173" t="str">
        <f>IF(Revenue="","← Enter your revenue on tab 1",IF(PlanDiag&gt;0,"That's what the diagnostic tells us — what today's data supports, in 2–6 weeks for "&amp;IF(ABS((PlanDiag))&gt;=1000000,TEXT((PlanDiag)/1000000,"$0.0")&amp;"M",TEXT((PlanDiag)/1000,"$#,##0")&amp;"K")&amp;", before any bigger check.","That's what the first sprint tells us — what today's data supports — before any bigger check."))</f>
        <v>← Enter your revenue on tab 1</v>
      </c>
      <c r="H20" s="169" t="n"/>
      <c r="I20" s="12" t="n"/>
    </row>
    <row r="21" ht="44" customHeight="1">
      <c r="B21" s="171" t="n">
        <v>5</v>
      </c>
      <c r="C21" s="67" t="inlineStr">
        <is>
          <t>“Isn't this just AI hype?” (if AI is the initiative)</t>
        </is>
      </c>
      <c r="D21" s="18" t="n"/>
      <c r="E21" s="20" t="inlineStr">
        <is>
          <t>The business case is the same whether the initiative is pricing or AI: a sized opportunity, a phased ask, a named owner, proof gates. The tool is a line item, not the pitch.</t>
        </is>
      </c>
      <c r="F21" s="18" t="n"/>
      <c r="G21" s="173" t="inlineStr">
        <is>
          <t>The business case is the same whether the initiative is pricing or AI: sized opportunity, phased ask, named owner, proof gates. The tool is a line item, not the pitch.</t>
        </is>
      </c>
      <c r="H21" s="169" t="n"/>
      <c r="I21" s="12" t="n"/>
    </row>
    <row r="22" ht="44" customHeight="1">
      <c r="B22" s="171" t="n">
        <v>6</v>
      </c>
      <c r="C22" s="67" t="inlineStr">
        <is>
          <t>“Why not just add a pricing analyst — or let AI do it?”</t>
        </is>
      </c>
      <c r="D22" s="18" t="n"/>
      <c r="E22" s="20" t="inlineStr">
        <is>
          <t>Prove the value first, then fund the team on the results, and measure outcomes (margin, realization), not activity. AI accelerates a pricing function whose data and basics are in place; it doesn't replace them.</t>
        </is>
      </c>
      <c r="F22" s="18" t="n"/>
      <c r="G22" s="173" t="str">
        <f>IF(Revenue="","← Enter your revenue on tab 1","Prove the value first: "&amp;IF(PlanDiag&gt;0,"the diagnostic sizes it in 2–6 weeks for "&amp;IF(ABS((PlanDiag))&gt;=1000000,TEXT((PlanDiag)/1000000,"$0.0")&amp;"M",TEXT((PlanDiag)/1000,"$#,##0")&amp;"K"),"the first sprint sizes it")&amp;". Then we fund the team on the results and measure outcomes, not activity.")</f>
        <v>← Enter your revenue on tab 1</v>
      </c>
      <c r="H22" s="169" t="n"/>
      <c r="I22" s="12" t="n"/>
    </row>
    <row r="23" ht="20" customHeight="1">
      <c r="B23" s="174" t="inlineStr">
        <is>
          <t>Every objection is answered by making the ask smaller, owned, and measurable — not by arguing the upside harder.</t>
        </is>
      </c>
    </row>
    <row r="24" ht="22" customHeight="1">
      <c r="C24" s="104" t="inlineStr">
        <is>
          <t>Our team's time for the diagnostic</t>
        </is>
      </c>
      <c r="E24" s="172" t="inlineStr">
        <is>
          <t>~10–15 hours across three data extracts</t>
        </is>
      </c>
      <c r="F24" s="12" t="n"/>
      <c r="G24" s="16" t="inlineStr">
        <is>
          <t>Placeholder estimate, not yet confirmed. Replace it with your own; objection 2 updates.</t>
        </is>
      </c>
    </row>
    <row r="25" ht="22" customHeight="1">
      <c r="B25" s="175" t="inlineStr">
        <is>
          <t>If the ask needs board approval, the Canvas plus the 24-month payback page (tab 3b) are the pre-read.</t>
        </is>
      </c>
    </row>
    <row r="26" ht="26" customHeight="1">
      <c r="B26" s="16" t="inlineStr">
        <is>
          <t>Sequence matters: across our clients, an engaged and prepared executive sponsor is the single strongest predictor of success — sponsorship is cited over 3× more than any other factor (Prosci), yet fewer than two-thirds of initiatives have an engaged sponsor (PMI).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2">
    <mergeCell ref="H20:I20"/>
    <mergeCell ref="C24:D24"/>
    <mergeCell ref="B7:I7"/>
    <mergeCell ref="E24:F24"/>
    <mergeCell ref="B25:I25"/>
    <mergeCell ref="E17:F17"/>
    <mergeCell ref="C20:D20"/>
    <mergeCell ref="G24:I24"/>
    <mergeCell ref="E20:F20"/>
    <mergeCell ref="H21:I21"/>
    <mergeCell ref="C16:D16"/>
    <mergeCell ref="B2:I2"/>
    <mergeCell ref="E19:F19"/>
    <mergeCell ref="C22:D22"/>
    <mergeCell ref="B23:I23"/>
    <mergeCell ref="B1:I1"/>
    <mergeCell ref="H17:I17"/>
    <mergeCell ref="C21:D21"/>
    <mergeCell ref="H16:I16"/>
    <mergeCell ref="H19:I19"/>
    <mergeCell ref="H22:I22"/>
    <mergeCell ref="C17:D17"/>
    <mergeCell ref="E16:F16"/>
    <mergeCell ref="B15:I15"/>
    <mergeCell ref="B6:I6"/>
    <mergeCell ref="H18:I18"/>
    <mergeCell ref="C19:D19"/>
    <mergeCell ref="E22:F22"/>
    <mergeCell ref="C18:D18"/>
    <mergeCell ref="E18:F18"/>
    <mergeCell ref="E21:F21"/>
    <mergeCell ref="B26:I26"/>
  </mergeCells>
  <conditionalFormatting sqref="I9:I13">
    <cfRule type="expression" priority="1" dxfId="12" stopIfTrue="0">
      <formula>I9="Committed"</formula>
    </cfRule>
    <cfRule type="expression" priority="2" dxfId="13" stopIfTrue="0">
      <formula>I9="In progress"</formula>
    </cfRule>
    <cfRule type="expression" priority="3" dxfId="14" stopIfTrue="0">
      <formula>I9="Not started"</formula>
    </cfRule>
  </conditionalFormatting>
  <dataValidations count="1">
    <dataValidation sqref="I9:I13" showDropDown="0" showInputMessage="0" showErrorMessage="1" allowBlank="1" errorTitle="RGM Initiative Playbook" error="Pick from the list" type="list" errorStyle="stop">
      <formula1>"Not started,In progress,Committed"</formula1>
    </dataValidation>
  </dataValidations>
  <hyperlinks>
    <hyperlink ref="C4" location="'Start Here'!A1" display="← Start Here"/>
    <hyperlink ref="D4" location="'4 Canvas'!A1" display="← Previous"/>
    <hyperlink ref="E4" location="'6 KPI Tracker'!A1" display="Next →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7DB73E"/>
    <outlinePr summaryBelow="1" summaryRight="1"/>
    <pageSetUpPr fitToPage="1"/>
  </sheetPr>
  <dimension ref="A1:X26"/>
  <sheetViews>
    <sheetView showGridLines="0" zoomScale="95" zoomScaleNormal="95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4" customWidth="1" min="1" max="1"/>
    <col width="16" customWidth="1" min="2" max="2"/>
    <col width="18" customWidth="1" min="3" max="3"/>
    <col width="12" customWidth="1" min="4" max="4"/>
    <col width="9" customWidth="1" min="5" max="5"/>
    <col width="6.5" customWidth="1" min="6" max="6"/>
    <col width="9" customWidth="1" min="7" max="7"/>
    <col width="8.5" customWidth="1" min="8" max="8"/>
    <col width="8.5" customWidth="1" min="9" max="9"/>
    <col width="8.5" customWidth="1" min="10" max="10"/>
    <col width="9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2.4" customWidth="1" min="24" max="24"/>
  </cols>
  <sheetData>
    <row r="1" ht="30" customHeight="1">
      <c r="A1" s="1" t="n"/>
      <c r="B1" s="2" t="inlineStr">
        <is>
          <t>Step 6 — KPI Tracker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</row>
    <row r="2" ht="20" customHeight="1">
      <c r="A2" s="1" t="n"/>
      <c r="B2" s="3" t="inlineStr">
        <is>
          <t>Keep leadership bought in. Set baseline and targets now; log actuals monthly; tie each KPI to the proof gate that unlocks the next phase.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</row>
    <row r="4" ht="16" customHeight="1">
      <c r="B4" s="5" t="inlineStr">
        <is>
          <t>← Start Here</t>
        </is>
      </c>
      <c r="C4" s="5" t="inlineStr">
        <is>
          <t>← Previous</t>
        </is>
      </c>
      <c r="D4" s="5" t="inlineStr">
        <is>
          <t>Next →</t>
        </is>
      </c>
    </row>
    <row r="5" ht="4" customHeight="1"/>
    <row r="6" ht="17" customHeight="1">
      <c r="B6" s="6" t="inlineStr">
        <is>
          <t>SIX KPIs · set the baseline and targets now, then log actuals each month</t>
        </is>
      </c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</row>
    <row r="7" ht="30" customHeight="1">
      <c r="B7" s="122" t="inlineStr">
        <is>
          <t>Metric</t>
        </is>
      </c>
      <c r="C7" s="122" t="inlineStr">
        <is>
          <t>Definition</t>
        </is>
      </c>
      <c r="D7" s="122" t="inlineStr">
        <is>
          <t>What it proves</t>
        </is>
      </c>
      <c r="E7" s="122" t="inlineStr">
        <is>
          <t>Units</t>
        </is>
      </c>
      <c r="F7" s="122" t="inlineStr">
        <is>
          <t>Dir.</t>
        </is>
      </c>
      <c r="G7" s="122" t="inlineStr">
        <is>
          <t>Baseline</t>
        </is>
      </c>
      <c r="H7" s="122" t="inlineStr">
        <is>
          <t>Target · suggested</t>
        </is>
      </c>
      <c r="I7" s="122" t="inlineStr">
        <is>
          <t>Your target</t>
        </is>
      </c>
      <c r="J7" s="122" t="inlineStr">
        <is>
          <t>Target used</t>
        </is>
      </c>
      <c r="K7" s="122" t="inlineStr">
        <is>
          <t>$ at target / yr</t>
        </is>
      </c>
      <c r="L7" s="176" t="inlineStr">
        <is>
          <t>M1</t>
        </is>
      </c>
      <c r="M7" s="176" t="inlineStr">
        <is>
          <t>M2</t>
        </is>
      </c>
      <c r="N7" s="176" t="inlineStr">
        <is>
          <t>M3</t>
        </is>
      </c>
      <c r="O7" s="176" t="inlineStr">
        <is>
          <t>M4</t>
        </is>
      </c>
      <c r="P7" s="176" t="inlineStr">
        <is>
          <t>M5</t>
        </is>
      </c>
      <c r="Q7" s="176" t="inlineStr">
        <is>
          <t>M6</t>
        </is>
      </c>
      <c r="R7" s="176" t="inlineStr">
        <is>
          <t>M7</t>
        </is>
      </c>
      <c r="S7" s="176" t="inlineStr">
        <is>
          <t>M8</t>
        </is>
      </c>
      <c r="T7" s="176" t="inlineStr">
        <is>
          <t>M9</t>
        </is>
      </c>
      <c r="U7" s="176" t="inlineStr">
        <is>
          <t>M10</t>
        </is>
      </c>
      <c r="V7" s="176" t="inlineStr">
        <is>
          <t>M11</t>
        </is>
      </c>
      <c r="W7" s="176" t="inlineStr">
        <is>
          <t>M12</t>
        </is>
      </c>
    </row>
    <row r="8" ht="34" customHeight="1">
      <c r="B8" s="67" t="inlineStr">
        <is>
          <t>Net price realization</t>
        </is>
      </c>
      <c r="C8" s="177" t="inlineStr">
        <is>
          <t>Realized vs. target price — is the price we set the price we get?</t>
        </is>
      </c>
      <c r="D8" s="178" t="inlineStr">
        <is>
          <t>Are we actually capturing price?</t>
        </is>
      </c>
      <c r="E8" s="178" t="inlineStr">
        <is>
          <t>bps vs. baseline</t>
        </is>
      </c>
      <c r="F8" s="179" t="inlineStr">
        <is>
          <t>↑</t>
        </is>
      </c>
      <c r="G8" s="68" t="n"/>
      <c r="H8" s="180" t="n">
        <v>50</v>
      </c>
      <c r="I8" s="181" t="n"/>
      <c r="J8" s="182">
        <f>IF(I8="",H8,I8)</f>
        <v>50</v>
      </c>
      <c r="K8" s="70" t="str">
        <f>IF(OR(Revenue="",J8=""),"",Revenue*ABS(J8)/10000)</f>
        <v/>
      </c>
      <c r="L8" s="183" t="n"/>
      <c r="M8" s="183" t="n"/>
      <c r="N8" s="183" t="n"/>
      <c r="O8" s="183" t="n"/>
      <c r="P8" s="183" t="n"/>
      <c r="Q8" s="183" t="n"/>
      <c r="R8" s="183" t="n"/>
      <c r="S8" s="183" t="n"/>
      <c r="T8" s="183" t="n"/>
      <c r="U8" s="183" t="n"/>
      <c r="V8" s="183" t="n"/>
      <c r="W8" s="183" t="n"/>
    </row>
    <row r="9" ht="34" customHeight="1">
      <c r="B9" s="67" t="inlineStr">
        <is>
          <t>Pocket margin</t>
        </is>
      </c>
      <c r="C9" s="177" t="inlineStr">
        <is>
          <t>Pocket price and margin after every leak — list is often 20–40% higher than pocket.</t>
        </is>
      </c>
      <c r="D9" s="178" t="inlineStr">
        <is>
          <t>The P&amp;L proof the initiative promised.</t>
        </is>
      </c>
      <c r="E9" s="178" t="inlineStr">
        <is>
          <t>bps vs. baseline</t>
        </is>
      </c>
      <c r="F9" s="179" t="inlineStr">
        <is>
          <t>↑</t>
        </is>
      </c>
      <c r="G9" s="68" t="n"/>
      <c r="H9" s="180">
        <f>IF(OR(Revenue="",NOT(ISNUMBER(PrizeUsed))),40,PrizeUsed/Revenue*10000)</f>
        <v>40</v>
      </c>
      <c r="I9" s="181" t="n"/>
      <c r="J9" s="182">
        <f>IF(I9="",H9,I9)</f>
        <v>40</v>
      </c>
      <c r="K9" s="70" t="str">
        <f>IF(OR(Revenue="",J9=""),"",Revenue*ABS(J9)/10000)</f>
        <v/>
      </c>
      <c r="L9" s="183" t="n"/>
      <c r="M9" s="183" t="n"/>
      <c r="N9" s="183" t="n"/>
      <c r="O9" s="183" t="n"/>
      <c r="P9" s="183" t="n"/>
      <c r="Q9" s="183" t="n"/>
      <c r="R9" s="183" t="n"/>
      <c r="S9" s="183" t="n"/>
      <c r="T9" s="183" t="n"/>
      <c r="U9" s="183" t="n"/>
      <c r="V9" s="183" t="n"/>
      <c r="W9" s="183" t="n"/>
    </row>
    <row r="10" ht="34" customHeight="1">
      <c r="B10" s="67" t="inlineStr">
        <is>
          <t>Discount leakage</t>
        </is>
      </c>
      <c r="C10" s="177" t="inlineStr">
        <is>
          <t>List-to-pocket gap, in bps of revenue, so the dollars line up with the prize.</t>
        </is>
      </c>
      <c r="D10" s="178" t="inlineStr">
        <is>
          <t>Leakage trending down.</t>
        </is>
      </c>
      <c r="E10" s="178" t="inlineStr">
        <is>
          <t>bps of revenue</t>
        </is>
      </c>
      <c r="F10" s="179" t="inlineStr">
        <is>
          <t>↓</t>
        </is>
      </c>
      <c r="G10" s="68" t="n"/>
      <c r="H10" s="180" t="n">
        <v>-30</v>
      </c>
      <c r="I10" s="181" t="n"/>
      <c r="J10" s="182">
        <f>IF(I10="",H10,I10)</f>
        <v>-30</v>
      </c>
      <c r="K10" s="70" t="str">
        <f>IF(OR(Revenue="",J10=""),"",Revenue*ABS(J10)/10000)</f>
        <v/>
      </c>
      <c r="L10" s="183" t="n"/>
      <c r="M10" s="183" t="n"/>
      <c r="N10" s="183" t="n"/>
      <c r="O10" s="183" t="n"/>
      <c r="P10" s="183" t="n"/>
      <c r="Q10" s="183" t="n"/>
      <c r="R10" s="183" t="n"/>
      <c r="S10" s="183" t="n"/>
      <c r="T10" s="183" t="n"/>
      <c r="U10" s="183" t="n"/>
      <c r="V10" s="183" t="n"/>
      <c r="W10" s="183" t="n"/>
    </row>
    <row r="11" ht="34" customHeight="1">
      <c r="B11" s="67" t="inlineStr">
        <is>
          <t>Win rate &amp; volume</t>
        </is>
      </c>
      <c r="C11" s="177" t="inlineStr">
        <is>
          <t>Win rate and volume vs. baseline.</t>
        </is>
      </c>
      <c r="D11" s="178" t="inlineStr">
        <is>
          <t>Price moves didn't cost the business.</t>
        </is>
      </c>
      <c r="E11" s="178" t="inlineStr">
        <is>
          <t>pp / % vs. baseline</t>
        </is>
      </c>
      <c r="F11" s="179" t="inlineStr">
        <is>
          <t>hold (↑)</t>
        </is>
      </c>
      <c r="G11" s="68" t="n"/>
      <c r="H11" s="184" t="n">
        <v>0</v>
      </c>
      <c r="I11" s="185" t="n"/>
      <c r="J11" s="186">
        <f>IF(I11="",H11,I11)</f>
        <v>0</v>
      </c>
      <c r="K11" s="187" t="inlineStr">
        <is>
          <t>—</t>
        </is>
      </c>
      <c r="L11" s="188" t="n"/>
      <c r="M11" s="188" t="n"/>
      <c r="N11" s="188" t="n"/>
      <c r="O11" s="188" t="n"/>
      <c r="P11" s="188" t="n"/>
      <c r="Q11" s="188" t="n"/>
      <c r="R11" s="188" t="n"/>
      <c r="S11" s="188" t="n"/>
      <c r="T11" s="188" t="n"/>
      <c r="U11" s="188" t="n"/>
      <c r="V11" s="188" t="n"/>
      <c r="W11" s="188" t="n"/>
    </row>
    <row r="12" ht="34" customHeight="1">
      <c r="B12" s="67" t="inlineStr">
        <is>
          <t>Adoption</t>
        </is>
      </c>
      <c r="C12" s="177" t="inlineStr">
        <is>
          <t>% of quotes / decisions run through the new tools and playbooks.</t>
        </is>
      </c>
      <c r="D12" s="178" t="inlineStr">
        <is>
          <t>The tools and playbooks are actually used.</t>
        </is>
      </c>
      <c r="E12" s="178" t="inlineStr">
        <is>
          <t>%</t>
        </is>
      </c>
      <c r="F12" s="179" t="inlineStr">
        <is>
          <t>↑</t>
        </is>
      </c>
      <c r="G12" s="68" t="n"/>
      <c r="H12" s="103" t="n">
        <v>0.8</v>
      </c>
      <c r="I12" s="74" t="n"/>
      <c r="J12" s="75">
        <f>IF(I12="",H12,I12)</f>
        <v>0.8</v>
      </c>
      <c r="K12" s="187" t="inlineStr">
        <is>
          <t>—</t>
        </is>
      </c>
      <c r="L12" s="189" t="n"/>
      <c r="M12" s="189" t="n"/>
      <c r="N12" s="189" t="n"/>
      <c r="O12" s="189" t="n"/>
      <c r="P12" s="189" t="n"/>
      <c r="Q12" s="189" t="n"/>
      <c r="R12" s="189" t="n"/>
      <c r="S12" s="189" t="n"/>
      <c r="T12" s="189" t="n"/>
      <c r="U12" s="189" t="n"/>
      <c r="V12" s="189" t="n"/>
      <c r="W12" s="189" t="n"/>
    </row>
    <row r="13" ht="34" customHeight="1">
      <c r="B13" s="67" t="inlineStr">
        <is>
          <t>Time-to-value</t>
        </is>
      </c>
      <c r="C13" s="177" t="inlineStr">
        <is>
          <t>Weeks from kickoff to the first measured win.</t>
        </is>
      </c>
      <c r="D13" s="178" t="inlineStr">
        <is>
          <t>Value lands inside the first quarter.</t>
        </is>
      </c>
      <c r="E13" s="178" t="inlineStr">
        <is>
          <t>weeks (milestone)</t>
        </is>
      </c>
      <c r="F13" s="179" t="inlineStr">
        <is>
          <t>↓</t>
        </is>
      </c>
      <c r="G13" s="187" t="inlineStr">
        <is>
          <t>—</t>
        </is>
      </c>
      <c r="H13" s="99" t="n">
        <v>12</v>
      </c>
      <c r="I13" s="100" t="n"/>
      <c r="J13" s="101">
        <f>IF(I13="",H13,I13)</f>
        <v>12</v>
      </c>
      <c r="K13" s="187" t="inlineStr">
        <is>
          <t>—</t>
        </is>
      </c>
      <c r="L13" s="100" t="n"/>
      <c r="M13" s="190" t="str">
        <f>IF(L13="","",IF(L13&lt;=J13,"On plan","Late"))</f>
        <v/>
      </c>
      <c r="P13" s="132" t="inlineStr">
        <is>
          <t>← type the week the first measured win landed</t>
        </is>
      </c>
    </row>
    <row r="14" ht="30" customHeight="1">
      <c r="B14" s="174" t="str">
        <f>IF(OR(Revenue="",NOT(ISNUMBER(PMDollars)),N(PrizeUsed)&lt;=0),"Targets in $ appear once revenue is entered on tab 1.","Pocket margin is the P&amp;L proof: +"&amp;TEXT(PMTarget,"0")&amp;" bps ≈ "&amp;IF(ABS((PMDollars))&gt;=1000000,TEXT((PMDollars)/1000000,"$0.0")&amp;"M",TEXT((PMDollars)/1000,"$#,##0")&amp;"K")&amp;" a year, "&amp;TEXT(PMDollars/PrizeUsed,"0%")&amp;" of your planning prize of "&amp;IF(ABS((PrizeUsed))&gt;=1000000,TEXT((PrizeUsed)/1000000,"$0.0")&amp;"M",TEXT((PrizeUsed)/1000,"$#,##0")&amp;"K")&amp;IF(N(Y1Value)&gt;0," and "&amp;TEXT(PMDollars/Y1Value,"0%")&amp;" of year-one value on tab 3b","")&amp;". Realization and leakage feed pocket margin, so don't add their dollars on top."&amp;IF(PMDollars&lt;PrizeUsed*0.995," To track the whole prize, set the pocket-margin target to about "&amp;TEXT(PrizeUsed/Revenue*10000,"0")&amp;" bps.",""))</f>
        <v>Targets in $ appear once revenue is entered on tab 1.</v>
      </c>
    </row>
    <row r="15" ht="8" customHeight="1"/>
    <row r="16" ht="17" customHeight="1">
      <c r="B16" s="6" t="inlineStr">
        <is>
          <t>BASELINE &amp; ATTRIBUTION · agree these with Finance before month 1</t>
        </is>
      </c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</row>
    <row r="17" ht="24" customHeight="1">
      <c r="B17" s="67" t="inlineStr">
        <is>
          <t>Baseline period</t>
        </is>
      </c>
      <c r="C17" s="191" t="n"/>
      <c r="D17" s="12" t="n"/>
      <c r="E17" s="12" t="n"/>
      <c r="F17" s="12" t="n"/>
      <c r="G17" s="12" t="n"/>
      <c r="H17" s="12" t="n"/>
      <c r="I17" s="12" t="n"/>
      <c r="J17" s="12" t="n"/>
      <c r="K17" s="192" t="inlineStr">
        <is>
          <t>e.g., the trailing 12 months before the diagnostic starts.</t>
        </is>
      </c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18" t="n"/>
      <c r="V17" s="18" t="n"/>
      <c r="W17" s="18" t="n"/>
    </row>
    <row r="18" ht="24" customHeight="1">
      <c r="B18" s="67" t="inlineStr">
        <is>
          <t>What's excluded</t>
        </is>
      </c>
      <c r="C18" s="191" t="n"/>
      <c r="D18" s="12" t="n"/>
      <c r="E18" s="12" t="n"/>
      <c r="F18" s="12" t="n"/>
      <c r="G18" s="12" t="n"/>
      <c r="H18" s="12" t="n"/>
      <c r="I18" s="12" t="n"/>
      <c r="J18" s="12" t="n"/>
      <c r="K18" s="192" t="inlineStr">
        <is>
          <t>Cost pass-through, tariffs, mix and FX, so the lift you report comes from price.</t>
        </is>
      </c>
      <c r="L18" s="18" t="n"/>
      <c r="M18" s="18" t="n"/>
      <c r="N18" s="18" t="n"/>
      <c r="O18" s="18" t="n"/>
      <c r="P18" s="18" t="n"/>
      <c r="Q18" s="18" t="n"/>
      <c r="R18" s="18" t="n"/>
      <c r="S18" s="18" t="n"/>
      <c r="T18" s="18" t="n"/>
      <c r="U18" s="18" t="n"/>
      <c r="V18" s="18" t="n"/>
      <c r="W18" s="18" t="n"/>
    </row>
    <row r="19" ht="24" customHeight="1">
      <c r="B19" s="67" t="inlineStr">
        <is>
          <t>Control group / holdout</t>
        </is>
      </c>
      <c r="C19" s="191" t="n"/>
      <c r="D19" s="12" t="n"/>
      <c r="E19" s="12" t="n"/>
      <c r="F19" s="12" t="n"/>
      <c r="G19" s="12" t="n"/>
      <c r="H19" s="12" t="n"/>
      <c r="I19" s="12" t="n"/>
      <c r="J19" s="12" t="n"/>
      <c r="K19" s="192" t="inlineStr">
        <is>
          <t>Where possible: a region, segment or rep team that keeps the old way for a while.</t>
        </is>
      </c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</row>
    <row r="20" ht="24" customHeight="1">
      <c r="B20" s="67" t="inlineStr">
        <is>
          <t>Who signs the baseline</t>
        </is>
      </c>
      <c r="C20" s="191" t="n"/>
      <c r="D20" s="12" t="n"/>
      <c r="E20" s="12" t="n"/>
      <c r="F20" s="12" t="n"/>
      <c r="G20" s="12" t="n"/>
      <c r="H20" s="12" t="n"/>
      <c r="I20" s="12" t="n"/>
      <c r="J20" s="12" t="n"/>
      <c r="K20" s="192" t="inlineStr">
        <is>
          <t>A named person in Finance.</t>
        </is>
      </c>
      <c r="L20" s="18" t="n"/>
      <c r="M20" s="18" t="n"/>
      <c r="N20" s="18" t="n"/>
      <c r="O20" s="18" t="n"/>
      <c r="P20" s="18" t="n"/>
      <c r="Q20" s="18" t="n"/>
      <c r="R20" s="18" t="n"/>
      <c r="S20" s="18" t="n"/>
      <c r="T20" s="18" t="n"/>
      <c r="U20" s="18" t="n"/>
      <c r="V20" s="18" t="n"/>
      <c r="W20" s="18" t="n"/>
    </row>
    <row r="21" ht="24" customHeight="1">
      <c r="B21" s="67" t="inlineStr">
        <is>
          <t>Measurement cadence</t>
        </is>
      </c>
      <c r="C21" s="191" t="n"/>
      <c r="D21" s="12" t="n"/>
      <c r="E21" s="12" t="n"/>
      <c r="F21" s="12" t="n"/>
      <c r="G21" s="12" t="n"/>
      <c r="H21" s="12" t="n"/>
      <c r="I21" s="12" t="n"/>
      <c r="J21" s="12" t="n"/>
      <c r="K21" s="192" t="inlineStr">
        <is>
          <t>Monthly, on one page.</t>
        </is>
      </c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</row>
    <row r="22" ht="8" customHeight="1"/>
    <row r="23" ht="17" customHeight="1">
      <c r="B23" s="193" t="inlineStr">
        <is>
          <t>TRACK THE WATERFALL, NOT THE AVERAGE</t>
        </is>
      </c>
      <c r="C23" s="194" t="n"/>
      <c r="D23" s="194" t="n"/>
      <c r="E23" s="194" t="n"/>
      <c r="F23" s="194" t="n"/>
      <c r="G23" s="194" t="n"/>
      <c r="H23" s="194" t="n"/>
      <c r="I23" s="194" t="n"/>
      <c r="J23" s="194" t="n"/>
      <c r="K23" s="194" t="n"/>
      <c r="L23" s="194" t="n"/>
      <c r="M23" s="194" t="n"/>
      <c r="N23" s="194" t="n"/>
      <c r="O23" s="194" t="n"/>
      <c r="P23" s="194" t="n"/>
      <c r="Q23" s="194" t="n"/>
      <c r="R23" s="194" t="n"/>
      <c r="S23" s="194" t="n"/>
      <c r="T23" s="194" t="n"/>
      <c r="U23" s="194" t="n"/>
      <c r="V23" s="194" t="n"/>
      <c r="W23" s="194" t="n"/>
    </row>
    <row r="24" ht="40" customHeight="1">
      <c r="B24" s="8" t="inlineStr">
        <is>
          <t>Track the price waterfall, not the average. List price rarely equals what you keep. Walk it down — on-invoice discounts → off-invoice rebates → freight, terms and allowances → pocket price — and the drop is often 20–40%. Pocket margin (pocket price minus cost) is the true per-deal profit KPI. Averages hide the leakage; govern it transaction-by-transaction with price bands and approval workflows. (McKinsey pocket-price bands; Vendavo price-waterfall framework.)</t>
        </is>
      </c>
    </row>
    <row r="25" ht="17" customHeight="1">
      <c r="B25" s="193" t="inlineStr">
        <is>
          <t>HOW TO REPORT IT</t>
        </is>
      </c>
      <c r="C25" s="194" t="n"/>
      <c r="D25" s="194" t="n"/>
      <c r="E25" s="194" t="n"/>
      <c r="F25" s="194" t="n"/>
      <c r="G25" s="194" t="n"/>
      <c r="H25" s="194" t="n"/>
      <c r="I25" s="194" t="n"/>
      <c r="J25" s="194" t="n"/>
      <c r="K25" s="194" t="n"/>
      <c r="L25" s="194" t="n"/>
      <c r="M25" s="194" t="n"/>
      <c r="N25" s="194" t="n"/>
      <c r="O25" s="194" t="n"/>
      <c r="P25" s="194" t="n"/>
      <c r="Q25" s="194" t="n"/>
      <c r="R25" s="194" t="n"/>
      <c r="S25" s="194" t="n"/>
      <c r="T25" s="194" t="n"/>
      <c r="U25" s="194" t="n"/>
      <c r="V25" s="194" t="n"/>
      <c r="W25" s="194" t="n"/>
    </row>
    <row r="26" ht="36" customHeight="1">
      <c r="B26" s="8" t="inlineStr">
        <is>
          <t>One page, monthly: baseline, current, target, and a one-line “so what.” Tie every KPI to the proof gate that unlocks the next phase — “hit X on the diagnostic → fund the sprint” turns tracking into a funding mechanism. Show leading and lagging: adoption and time-to-value move first; margin and realization follow.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1">
    <mergeCell ref="K17:W17"/>
    <mergeCell ref="M13:O13"/>
    <mergeCell ref="B6:W6"/>
    <mergeCell ref="B24:W24"/>
    <mergeCell ref="K19:W19"/>
    <mergeCell ref="C20:J20"/>
    <mergeCell ref="K18:W18"/>
    <mergeCell ref="B26:W26"/>
    <mergeCell ref="B25:W25"/>
    <mergeCell ref="B16:W16"/>
    <mergeCell ref="C21:J21"/>
    <mergeCell ref="K21:W21"/>
    <mergeCell ref="K20:W20"/>
    <mergeCell ref="P13:W13"/>
    <mergeCell ref="B2:W2"/>
    <mergeCell ref="C17:J17"/>
    <mergeCell ref="B14:W14"/>
    <mergeCell ref="B23:W23"/>
    <mergeCell ref="B1:W1"/>
    <mergeCell ref="C19:J19"/>
    <mergeCell ref="C18:J18"/>
  </mergeCells>
  <conditionalFormatting sqref="L8:W8">
    <cfRule type="expression" priority="1" dxfId="15" stopIfTrue="0">
      <formula>AND(ISNUMBER(L8),ISNUMBER($J8),L8&gt;=$J8)</formula>
    </cfRule>
    <cfRule type="expression" priority="2" dxfId="11" stopIfTrue="0">
      <formula>AND(ISNUMBER(L8),ISNUMBER($J8),L8&lt;$J8)</formula>
    </cfRule>
  </conditionalFormatting>
  <conditionalFormatting sqref="L9:W9">
    <cfRule type="expression" priority="3" dxfId="15" stopIfTrue="0">
      <formula>AND(ISNUMBER(L9),ISNUMBER($J9),L9&gt;=$J9)</formula>
    </cfRule>
    <cfRule type="expression" priority="4" dxfId="11" stopIfTrue="0">
      <formula>AND(ISNUMBER(L9),ISNUMBER($J9),L9&lt;$J9)</formula>
    </cfRule>
  </conditionalFormatting>
  <conditionalFormatting sqref="L10:W10">
    <cfRule type="expression" priority="5" dxfId="15" stopIfTrue="0">
      <formula>AND(ISNUMBER(L10),ISNUMBER($J10),L10&lt;=$J10)</formula>
    </cfRule>
    <cfRule type="expression" priority="6" dxfId="11" stopIfTrue="0">
      <formula>AND(ISNUMBER(L10),ISNUMBER($J10),L10&gt;$J10)</formula>
    </cfRule>
  </conditionalFormatting>
  <conditionalFormatting sqref="L11:W11">
    <cfRule type="expression" priority="7" dxfId="15" stopIfTrue="0">
      <formula>AND(ISNUMBER(L11),ISNUMBER($J11),L11&gt;=$J11)</formula>
    </cfRule>
    <cfRule type="expression" priority="8" dxfId="11" stopIfTrue="0">
      <formula>AND(ISNUMBER(L11),ISNUMBER($J11),L11&lt;$J11)</formula>
    </cfRule>
  </conditionalFormatting>
  <conditionalFormatting sqref="L12:W12">
    <cfRule type="expression" priority="9" dxfId="15" stopIfTrue="0">
      <formula>AND(ISNUMBER(L12),ISNUMBER($J12),L12&gt;=$J12)</formula>
    </cfRule>
    <cfRule type="expression" priority="10" dxfId="11" stopIfTrue="0">
      <formula>AND(ISNUMBER(L12),ISNUMBER($J12),L12&lt;$J12)</formula>
    </cfRule>
  </conditionalFormatting>
  <conditionalFormatting sqref="M13:O13">
    <cfRule type="expression" priority="11" dxfId="9" stopIfTrue="0">
      <formula>$M$13="On plan"</formula>
    </cfRule>
    <cfRule type="expression" priority="12" dxfId="3" stopIfTrue="0">
      <formula>$M$13="Late"</formula>
    </cfRule>
  </conditionalFormatting>
  <hyperlinks>
    <hyperlink ref="B4" location="'Start Here'!A1" display="← Start Here"/>
    <hyperlink ref="C4" location="'5 Stakeholders'!A1" display="← Previous"/>
    <hyperlink ref="D4" location="'7 Make It Stick'!A1" display="Next →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7DB73E"/>
    <outlinePr summaryBelow="1" summaryRight="1"/>
    <pageSetUpPr fitToPage="1"/>
  </sheetPr>
  <dimension ref="A1:G42"/>
  <sheetViews>
    <sheetView showGridLines="0" zoomScale="10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4" customWidth="1" min="1" max="1"/>
    <col width="5" customWidth="1" min="2" max="2"/>
    <col width="66" customWidth="1" min="3" max="3"/>
    <col width="20" customWidth="1" min="4" max="4"/>
    <col width="12" customWidth="1" min="5" max="5"/>
    <col width="14" customWidth="1" min="6" max="6"/>
    <col width="2.4" customWidth="1" min="7" max="7"/>
  </cols>
  <sheetData>
    <row r="1" ht="30" customHeight="1">
      <c r="A1" s="1" t="n"/>
      <c r="B1" s="2" t="inlineStr">
        <is>
          <t>Step 7 — Make It Stick</t>
        </is>
      </c>
      <c r="C1" s="1" t="n"/>
      <c r="D1" s="1" t="n"/>
      <c r="E1" s="1" t="n"/>
      <c r="F1" s="1" t="n"/>
      <c r="G1" s="1" t="n"/>
    </row>
    <row r="2" ht="20" customHeight="1">
      <c r="A2" s="1" t="n"/>
      <c r="B2" s="3" t="inlineStr">
        <is>
          <t>Funding is the start, not the finish. First week, then the change-management checks before kickoff.</t>
        </is>
      </c>
      <c r="C2" s="1" t="n"/>
      <c r="D2" s="1" t="n"/>
      <c r="E2" s="1" t="n"/>
      <c r="F2" s="1" t="n"/>
      <c r="G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</row>
    <row r="4" ht="16" customHeight="1">
      <c r="C4" s="5" t="inlineStr">
        <is>
          <t>← Start Here</t>
        </is>
      </c>
      <c r="D4" s="5" t="inlineStr">
        <is>
          <t>← Previous</t>
        </is>
      </c>
      <c r="E4" s="5" t="inlineStr">
        <is>
          <t>Next →</t>
        </is>
      </c>
    </row>
    <row r="5" ht="4" customHeight="1"/>
    <row r="6" ht="17" customHeight="1">
      <c r="B6" s="6" t="inlineStr">
        <is>
          <t>A · MONDAY MORNING, IN SIX MOVES</t>
        </is>
      </c>
      <c r="C6" s="7" t="n"/>
      <c r="D6" s="7" t="n"/>
      <c r="E6" s="7" t="n"/>
      <c r="F6" s="7" t="n"/>
    </row>
    <row r="7" ht="18" customHeight="1">
      <c r="B7" s="56" t="inlineStr">
        <is>
          <t>#</t>
        </is>
      </c>
      <c r="C7" s="56" t="inlineStr">
        <is>
          <t>The move</t>
        </is>
      </c>
      <c r="D7" s="56" t="inlineStr">
        <is>
          <t>Owner</t>
        </is>
      </c>
      <c r="E7" s="56" t="inlineStr">
        <is>
          <t>Due</t>
        </is>
      </c>
      <c r="F7" s="56" t="inlineStr">
        <is>
          <t>Status</t>
        </is>
      </c>
    </row>
    <row r="8" ht="17" customHeight="1">
      <c r="B8" s="171" t="n">
        <v>1</v>
      </c>
      <c r="C8" s="195" t="inlineStr">
        <is>
          <t>Name the executive sponsor — one name, not a committee</t>
        </is>
      </c>
      <c r="D8" s="172" t="n"/>
      <c r="E8" s="196" t="n"/>
      <c r="F8" s="68" t="inlineStr">
        <is>
          <t>Open</t>
        </is>
      </c>
    </row>
    <row r="9" ht="17" customHeight="1">
      <c r="B9" s="171" t="n">
        <v>2</v>
      </c>
      <c r="C9" s="195" t="inlineStr">
        <is>
          <t>Estimate the prize — tab 1 does it from revenue and industry</t>
        </is>
      </c>
      <c r="D9" s="172" t="n"/>
      <c r="E9" s="196" t="n"/>
      <c r="F9" s="68" t="inlineStr">
        <is>
          <t>Open</t>
        </is>
      </c>
    </row>
    <row r="10" ht="17" customHeight="1">
      <c r="B10" s="171" t="n">
        <v>3</v>
      </c>
      <c r="C10" s="195" t="inlineStr">
        <is>
          <t>Pull three years of transaction data — one extract is enough to start</t>
        </is>
      </c>
      <c r="D10" s="172" t="n"/>
      <c r="E10" s="196" t="n"/>
      <c r="F10" s="68" t="inlineStr">
        <is>
          <t>Open</t>
        </is>
      </c>
    </row>
    <row r="11" ht="17" customHeight="1">
      <c r="B11" s="171" t="n">
        <v>4</v>
      </c>
      <c r="C11" s="195" t="inlineStr">
        <is>
          <t>Book the finance conversation — pre-wire the CFO before any budget meeting</t>
        </is>
      </c>
      <c r="D11" s="172" t="n"/>
      <c r="E11" s="196" t="n"/>
      <c r="F11" s="68" t="inlineStr">
        <is>
          <t>Open</t>
        </is>
      </c>
    </row>
    <row r="12" ht="17" customHeight="1">
      <c r="B12" s="171" t="n">
        <v>5</v>
      </c>
      <c r="C12" s="195" t="inlineStr">
        <is>
          <t>Fill in the one-page Canvas (tab 4) — under an hour for most teams</t>
        </is>
      </c>
      <c r="D12" s="172" t="n"/>
      <c r="E12" s="196" t="n"/>
      <c r="F12" s="68" t="inlineStr">
        <is>
          <t>Open</t>
        </is>
      </c>
    </row>
    <row r="13" ht="17" customHeight="1">
      <c r="B13" s="171" t="n">
        <v>6</v>
      </c>
      <c r="C13" s="195" t="inlineStr">
        <is>
          <t>Decide on the first step — the small first yes that de-risks the rest</t>
        </is>
      </c>
      <c r="D13" s="172" t="n"/>
      <c r="E13" s="196" t="n"/>
      <c r="F13" s="68" t="inlineStr">
        <is>
          <t>Open</t>
        </is>
      </c>
    </row>
    <row r="14" ht="8" customHeight="1"/>
    <row r="15" ht="17" customHeight="1">
      <c r="B15" s="6" t="inlineStr">
        <is>
          <t>B · CHANGE-MANAGEMENT CHECKLIST · check these off before kickoff</t>
        </is>
      </c>
      <c r="C15" s="7" t="n"/>
      <c r="D15" s="7" t="n"/>
      <c r="E15" s="7" t="n"/>
      <c r="F15" s="7" t="n"/>
    </row>
    <row r="16" ht="18" customHeight="1">
      <c r="B16" s="56" t="inlineStr">
        <is>
          <t>#</t>
        </is>
      </c>
      <c r="C16" s="56" t="inlineStr">
        <is>
          <t>Check</t>
        </is>
      </c>
      <c r="D16" s="56" t="inlineStr">
        <is>
          <t>Owner</t>
        </is>
      </c>
      <c r="E16" s="56" t="inlineStr">
        <is>
          <t>Due</t>
        </is>
      </c>
      <c r="F16" s="56" t="inlineStr">
        <is>
          <t>Status</t>
        </is>
      </c>
    </row>
    <row r="17" ht="16" customHeight="1">
      <c r="B17" s="197" t="inlineStr">
        <is>
          <t>OWNERSHIP</t>
        </is>
      </c>
      <c r="C17" s="198" t="n"/>
      <c r="D17" s="198" t="n"/>
      <c r="E17" s="198" t="n"/>
      <c r="F17" s="198" t="n"/>
    </row>
    <row r="18" ht="17" customHeight="1">
      <c r="B18" s="171" t="n">
        <v>1</v>
      </c>
      <c r="C18" s="195" t="inlineStr">
        <is>
          <t>A single named owner is accountable for the outcome, not just the project.</t>
        </is>
      </c>
      <c r="D18" s="172" t="n"/>
      <c r="E18" s="196" t="n"/>
      <c r="F18" s="68" t="inlineStr">
        <is>
          <t>Open</t>
        </is>
      </c>
    </row>
    <row r="19" ht="17" customHeight="1">
      <c r="B19" s="171" t="n">
        <v>2</v>
      </c>
      <c r="C19" s="195" t="inlineStr">
        <is>
          <t>An executive sponsor is on record and will defend it in the first hard quarter.</t>
        </is>
      </c>
      <c r="D19" s="172" t="n"/>
      <c r="E19" s="196" t="n"/>
      <c r="F19" s="68" t="inlineStr">
        <is>
          <t>Open</t>
        </is>
      </c>
    </row>
    <row r="20" ht="17" customHeight="1">
      <c r="B20" s="171" t="n">
        <v>3</v>
      </c>
      <c r="C20" s="195" t="inlineStr">
        <is>
          <t>Decision rights are clear: who can change a price, approve a discount, sign off on a model.</t>
        </is>
      </c>
      <c r="D20" s="172" t="n"/>
      <c r="E20" s="196" t="n"/>
      <c r="F20" s="68" t="inlineStr">
        <is>
          <t>Open</t>
        </is>
      </c>
    </row>
    <row r="21" ht="16" customHeight="1">
      <c r="B21" s="197" t="inlineStr">
        <is>
          <t>ADOPTION</t>
        </is>
      </c>
      <c r="C21" s="198" t="n"/>
      <c r="D21" s="198" t="n"/>
      <c r="E21" s="198" t="n"/>
      <c r="F21" s="198" t="n"/>
    </row>
    <row r="22" ht="17" customHeight="1">
      <c r="B22" s="171" t="n">
        <v>4</v>
      </c>
      <c r="C22" s="195" t="inlineStr">
        <is>
          <t>The frontline knows what changes in their day-to-day — not just that “we have a new tool.”</t>
        </is>
      </c>
      <c r="D22" s="172" t="n"/>
      <c r="E22" s="196" t="n"/>
      <c r="F22" s="68" t="inlineStr">
        <is>
          <t>Open</t>
        </is>
      </c>
    </row>
    <row r="23" ht="17" customHeight="1">
      <c r="B23" s="171" t="n">
        <v>5</v>
      </c>
      <c r="C23" s="195" t="inlineStr">
        <is>
          <t>Training and guardrails are in place before go-live, not after.</t>
        </is>
      </c>
      <c r="D23" s="172" t="n"/>
      <c r="E23" s="196" t="n"/>
      <c r="F23" s="68" t="inlineStr">
        <is>
          <t>Open</t>
        </is>
      </c>
    </row>
    <row r="24" ht="17" customHeight="1">
      <c r="B24" s="171" t="n">
        <v>6</v>
      </c>
      <c r="C24" s="195" t="inlineStr">
        <is>
          <t>There's a fallback for the edge cases, so people don't quietly revert to the spreadsheet.</t>
        </is>
      </c>
      <c r="D24" s="172" t="n"/>
      <c r="E24" s="196" t="n"/>
      <c r="F24" s="68" t="inlineStr">
        <is>
          <t>Open</t>
        </is>
      </c>
    </row>
    <row r="25" ht="16" customHeight="1">
      <c r="B25" s="197" t="inlineStr">
        <is>
          <t>STAKEHOLDERS</t>
        </is>
      </c>
      <c r="C25" s="198" t="n"/>
      <c r="D25" s="198" t="n"/>
      <c r="E25" s="198" t="n"/>
      <c r="F25" s="198" t="n"/>
    </row>
    <row r="26" ht="17" customHeight="1">
      <c r="B26" s="171" t="n">
        <v>7</v>
      </c>
      <c r="C26" s="195" t="inlineStr">
        <is>
          <t>Finance is bought in on how value will be measured (and agrees with the baseline).</t>
        </is>
      </c>
      <c r="D26" s="172" t="n"/>
      <c r="E26" s="196" t="n"/>
      <c r="F26" s="68" t="inlineStr">
        <is>
          <t>Open</t>
        </is>
      </c>
    </row>
    <row r="27" ht="17" customHeight="1">
      <c r="B27" s="171" t="n">
        <v>8</v>
      </c>
      <c r="C27" s="195" t="inlineStr">
        <is>
          <t>Sales understands the “why” and has been heard on the “how.”</t>
        </is>
      </c>
      <c r="D27" s="172" t="n"/>
      <c r="E27" s="196" t="n"/>
      <c r="F27" s="68" t="inlineStr">
        <is>
          <t>Open</t>
        </is>
      </c>
    </row>
    <row r="28" ht="17" customHeight="1">
      <c r="B28" s="171" t="n">
        <v>9</v>
      </c>
      <c r="C28" s="195" t="inlineStr">
        <is>
          <t>Ops / IT have signed off on the data and system dependencies.</t>
        </is>
      </c>
      <c r="D28" s="172" t="n"/>
      <c r="E28" s="196" t="n"/>
      <c r="F28" s="68" t="inlineStr">
        <is>
          <t>Open</t>
        </is>
      </c>
    </row>
    <row r="29" ht="20" customHeight="1">
      <c r="D29" s="199" t="str">
        <f>COUNTIF($F$18:$F$28,"Done")&amp;" of 9 done"</f>
        <v>0 of 9 done</v>
      </c>
    </row>
    <row r="30" ht="20" customHeight="1">
      <c r="B30" s="16" t="inlineStr">
        <is>
          <t>The failure mode to avoid: a funded initiative with no owner, no adoption plan, and no stakeholder buy-in launches, stalls in month three, and becomes the reason the next ask gets declined.</t>
        </is>
      </c>
    </row>
    <row r="31" ht="8" customHeight="1"/>
    <row r="32" ht="17" customHeight="1">
      <c r="B32" s="6" t="inlineStr">
        <is>
          <t>C · BUDGET TIMELINE · the clock is the strategy</t>
        </is>
      </c>
      <c r="C32" s="7" t="n"/>
      <c r="D32" s="7" t="n"/>
      <c r="E32" s="7" t="n"/>
      <c r="F32" s="7" t="n"/>
    </row>
    <row r="33" ht="18" customHeight="1">
      <c r="B33" s="56" t="inlineStr">
        <is>
          <t>#</t>
        </is>
      </c>
      <c r="C33" s="56" t="inlineStr">
        <is>
          <t>When · what happens</t>
        </is>
      </c>
      <c r="D33" s="56" t="inlineStr">
        <is>
          <t>Owner</t>
        </is>
      </c>
      <c r="E33" s="56" t="inlineStr">
        <is>
          <t>Due</t>
        </is>
      </c>
      <c r="F33" s="56" t="inlineStr">
        <is>
          <t>Status</t>
        </is>
      </c>
    </row>
    <row r="34" ht="26" customHeight="1">
      <c r="C34" s="195" t="str">
        <f>"September "&amp;(BudgetYear-1)&amp;" — Socialize the idea. Size the prize. Find the sponsor."</f>
        <v>September 2026 — Socialize the idea. Size the prize. Find the sponsor.</v>
      </c>
      <c r="D34" s="172" t="n"/>
      <c r="E34" s="196" t="n"/>
      <c r="F34" s="68" t="inlineStr">
        <is>
          <t>Open</t>
        </is>
      </c>
    </row>
    <row r="35" ht="30" customHeight="1">
      <c r="C35" s="195" t="str">
        <f>"October "&amp;(BudgetYear-1)&amp;" — "&amp;IF(RouteUsed="Ourselves first","Internal first pass starts (our time): size the prize from our own transaction data. ","")&amp;"Draft the line item. Phase the ask. Pre-wire the CFO."</f>
        <v>October 2026 — Draft the line item. Phase the ask. Pre-wire the CFO.</v>
      </c>
      <c r="D35" s="172" t="n"/>
      <c r="E35" s="196" t="n"/>
      <c r="F35" s="68" t="inlineStr">
        <is>
          <t>Open</t>
        </is>
      </c>
    </row>
    <row r="36" ht="26" customHeight="1">
      <c r="C36" s="195" t="str">
        <f>"November "&amp;(BudgetYear-1)&amp;" — Defend it in budget reviews: numbers and proof gates."</f>
        <v>November 2026 — Defend it in budget reviews: numbers and proof gates.</v>
      </c>
      <c r="D36" s="172" t="n"/>
      <c r="E36" s="196" t="n"/>
      <c r="F36" s="68" t="inlineStr">
        <is>
          <t>Open</t>
        </is>
      </c>
    </row>
    <row r="37" ht="26" customHeight="1">
      <c r="C37" s="195" t="str">
        <f>"December "&amp;(BudgetYear-1)&amp;" — Lock the funding before the money is spoken for."</f>
        <v>December 2026 — Lock the funding before the money is spoken for.</v>
      </c>
      <c r="D37" s="172" t="n"/>
      <c r="E37" s="196" t="n"/>
      <c r="F37" s="68" t="inlineStr">
        <is>
          <t>Open</t>
        </is>
      </c>
    </row>
    <row r="38" ht="26" customHeight="1">
      <c r="C38" s="195" t="inlineStr">
        <is>
          <t>Board pre-read, if the ask needs the board — the Canvas plus the payback page (tab 3b).</t>
        </is>
      </c>
      <c r="D38" s="172" t="n"/>
      <c r="E38" s="196" t="n"/>
      <c r="F38" s="68" t="inlineStr">
        <is>
          <t>Open</t>
        </is>
      </c>
    </row>
    <row r="39" ht="26" customHeight="1">
      <c r="C39" s="195" t="str">
        <f>TEXT(DATE(StartYearUsed,StartMonthUsed,1),"mmmm yyyy")&amp;" — "&amp;IF(RouteUsed="Ourselves first","Internal first pass starts; diagnostic go/no-go at the December lock.","First step starts.")</f>
        <v>January 2027 — First step starts.</v>
      </c>
      <c r="D39" s="172" t="n"/>
      <c r="E39" s="196" t="n"/>
      <c r="F39" s="68" t="inlineStr">
        <is>
          <t>Open</t>
        </is>
      </c>
    </row>
    <row r="40" ht="6" customHeight="1"/>
    <row r="41" ht="6" customHeight="1"/>
    <row r="42" ht="20" customHeight="1">
      <c r="B42" s="16" t="inlineStr">
        <is>
          <t>Miss the December lock and the next window is a year away. Budget follows certainty — walk in with the specific ask.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1">
    <mergeCell ref="B21:F21"/>
    <mergeCell ref="B30:F30"/>
    <mergeCell ref="D29:F29"/>
    <mergeCell ref="B6:F6"/>
    <mergeCell ref="B2:F2"/>
    <mergeCell ref="B15:F15"/>
    <mergeCell ref="B25:F25"/>
    <mergeCell ref="B42:F42"/>
    <mergeCell ref="B1:F1"/>
    <mergeCell ref="B32:F32"/>
    <mergeCell ref="B17:F17"/>
  </mergeCells>
  <conditionalFormatting sqref="F8:F13">
    <cfRule type="expression" priority="1" dxfId="12" stopIfTrue="0">
      <formula>F8="Done"</formula>
    </cfRule>
    <cfRule type="expression" priority="2" dxfId="13" stopIfTrue="0">
      <formula>F8="In progress"</formula>
    </cfRule>
    <cfRule type="expression" priority="3" dxfId="14" stopIfTrue="0">
      <formula>F8="Open"</formula>
    </cfRule>
  </conditionalFormatting>
  <conditionalFormatting sqref="F18:F28">
    <cfRule type="expression" priority="4" dxfId="12" stopIfTrue="0">
      <formula>F18="Done"</formula>
    </cfRule>
    <cfRule type="expression" priority="5" dxfId="13" stopIfTrue="0">
      <formula>F18="In progress"</formula>
    </cfRule>
    <cfRule type="expression" priority="6" dxfId="14" stopIfTrue="0">
      <formula>F18="Open"</formula>
    </cfRule>
  </conditionalFormatting>
  <conditionalFormatting sqref="F34:F39">
    <cfRule type="expression" priority="7" dxfId="12" stopIfTrue="0">
      <formula>F34="Done"</formula>
    </cfRule>
    <cfRule type="expression" priority="8" dxfId="13" stopIfTrue="0">
      <formula>F34="In progress"</formula>
    </cfRule>
    <cfRule type="expression" priority="9" dxfId="14" stopIfTrue="0">
      <formula>F34="Open"</formula>
    </cfRule>
  </conditionalFormatting>
  <dataValidations count="6">
    <dataValidation sqref="F8:F13" showDropDown="0" showInputMessage="0" showErrorMessage="1" allowBlank="1" errorTitle="RGM Initiative Playbook" error="Pick from the list" type="list" errorStyle="stop">
      <formula1>"Open,In progress,Done"</formula1>
    </dataValidation>
    <dataValidation sqref="E8:E13" showDropDown="0" showInputMessage="0" showErrorMessage="1" allowBlank="1" errorTitle="RGM Initiative Playbook" error="Enter a date between 2026 and 2031, e.g. 10/15/2026." type="date" errorStyle="stop" operator="between">
      <formula1>46023</formula1>
      <formula2>48213</formula2>
    </dataValidation>
    <dataValidation sqref="F18:F28" showDropDown="0" showInputMessage="0" showErrorMessage="1" allowBlank="1" errorTitle="RGM Initiative Playbook" error="Pick from the list" type="list" errorStyle="stop">
      <formula1>"Open,In progress,Done"</formula1>
    </dataValidation>
    <dataValidation sqref="E18:E28" showDropDown="0" showInputMessage="0" showErrorMessage="1" allowBlank="1" errorTitle="RGM Initiative Playbook" error="Enter a date between 2026 and 2031, e.g. 10/15/2026." type="date" errorStyle="stop" operator="between">
      <formula1>46023</formula1>
      <formula2>48213</formula2>
    </dataValidation>
    <dataValidation sqref="F34:F39" showDropDown="0" showInputMessage="0" showErrorMessage="1" allowBlank="1" errorTitle="RGM Initiative Playbook" error="Pick from the list" type="list" errorStyle="stop">
      <formula1>"Open,In progress,Done"</formula1>
    </dataValidation>
    <dataValidation sqref="E34:E39" showDropDown="0" showInputMessage="0" showErrorMessage="1" allowBlank="1" errorTitle="RGM Initiative Playbook" error="Enter a date between 2026 and 2031, e.g. 10/15/2026." type="date" errorStyle="stop" operator="between">
      <formula1>46023</formula1>
      <formula2>48213</formula2>
    </dataValidation>
  </dataValidations>
  <hyperlinks>
    <hyperlink ref="C4" location="'Start Here'!A1" display="← Start Here"/>
    <hyperlink ref="D4" location="'6 KPI Tracker'!A1" display="← Previous"/>
    <hyperlink ref="E4" location="'Self-Check'!A1" display="Next →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5A6770"/>
    <outlinePr summaryBelow="1" summaryRight="1"/>
    <pageSetUpPr fitToPage="1"/>
  </sheetPr>
  <dimension ref="A1:G35"/>
  <sheetViews>
    <sheetView showGridLines="0" zoomScale="10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4" customWidth="1" min="1" max="1"/>
    <col width="5" customWidth="1" min="2" max="2"/>
    <col width="58" customWidth="1" min="3" max="3"/>
    <col width="17" customWidth="1" min="4" max="4"/>
    <col width="17" customWidth="1" min="5" max="5"/>
    <col width="44" customWidth="1" min="6" max="6"/>
    <col width="2.4" customWidth="1" min="7" max="7"/>
  </cols>
  <sheetData>
    <row r="1" ht="30" customHeight="1">
      <c r="A1" s="1" t="n"/>
      <c r="B1" s="2" t="inlineStr">
        <is>
          <t>Self-Check — is it time, and which first step fits? (optional, two minutes)</t>
        </is>
      </c>
      <c r="C1" s="1" t="n"/>
      <c r="D1" s="1" t="n"/>
      <c r="E1" s="1" t="n"/>
      <c r="F1" s="1" t="n"/>
      <c r="G1" s="1" t="n"/>
    </row>
    <row r="2" ht="20" customHeight="1">
      <c r="A2" s="1" t="n"/>
      <c r="B2" s="3" t="inlineStr">
        <is>
          <t>Two minutes. Tells you whether it's time, and which first step fits — skip it if you already know.</t>
        </is>
      </c>
      <c r="C2" s="1" t="n"/>
      <c r="D2" s="1" t="n"/>
      <c r="E2" s="1" t="n"/>
      <c r="F2" s="1" t="n"/>
      <c r="G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</row>
    <row r="4" ht="16" customHeight="1">
      <c r="C4" s="5" t="inlineStr">
        <is>
          <t>← Start Here</t>
        </is>
      </c>
      <c r="D4" s="5" t="inlineStr">
        <is>
          <t>← Previous</t>
        </is>
      </c>
      <c r="E4" s="5" t="inlineStr">
        <is>
          <t>Next →</t>
        </is>
      </c>
    </row>
    <row r="5" ht="4" customHeight="1"/>
    <row r="6" ht="17" customHeight="1">
      <c r="B6" s="6" t="inlineStr">
        <is>
          <t>A · WHERE ARE YOU TODAY?</t>
        </is>
      </c>
      <c r="C6" s="7" t="n"/>
      <c r="D6" s="7" t="n"/>
      <c r="E6" s="7" t="n"/>
      <c r="F6" s="7" t="n"/>
    </row>
    <row r="7" ht="18" customHeight="1">
      <c r="B7" s="200" t="n">
        <v>1</v>
      </c>
      <c r="C7" s="83" t="inlineStr">
        <is>
          <t>Gut feel — pricing lives in spreadsheets; decisions by instinct</t>
        </is>
      </c>
      <c r="D7" s="18" t="n"/>
      <c r="E7" s="18" t="n"/>
      <c r="F7" s="18" t="n"/>
    </row>
    <row r="8" ht="18" customHeight="1">
      <c r="B8" s="200" t="n">
        <v>2</v>
      </c>
      <c r="C8" s="83" t="inlineStr">
        <is>
          <t>Descriptive — reports exist; no one acts on them</t>
        </is>
      </c>
      <c r="D8" s="18" t="n"/>
      <c r="E8" s="18" t="n"/>
      <c r="F8" s="18" t="n"/>
    </row>
    <row r="9" ht="18" customHeight="1">
      <c r="B9" s="200" t="n">
        <v>3</v>
      </c>
      <c r="C9" s="83" t="inlineStr">
        <is>
          <t>Analytics — elasticity, waterfall, promo ROI in use</t>
        </is>
      </c>
      <c r="D9" s="18" t="n"/>
      <c r="E9" s="18" t="n"/>
      <c r="F9" s="18" t="n"/>
    </row>
    <row r="10" ht="18" customHeight="1">
      <c r="B10" s="200" t="n">
        <v>4</v>
      </c>
      <c r="C10" s="83" t="inlineStr">
        <is>
          <t>Optimized — RGM is a managed P&amp;L capability</t>
        </is>
      </c>
      <c r="D10" s="18" t="n"/>
      <c r="E10" s="18" t="n"/>
      <c r="F10" s="18" t="n"/>
    </row>
    <row r="11" ht="22" customHeight="1">
      <c r="C11" s="201" t="inlineStr">
        <is>
          <t>Your step (pick one)</t>
        </is>
      </c>
      <c r="D11" s="11" t="n"/>
      <c r="E11" s="12" t="n"/>
    </row>
    <row r="12" ht="26" customHeight="1">
      <c r="C12" s="16" t="inlineStr">
        <is>
          <t>Most rooms sit at 1–2. In our 2025 RGA Maturity Report, 54% of commercial leaders rate their revenue growth analytics Low or Medium, and only 2% reach Very High (n=52). Knowing your step tells you what to ask for.</t>
        </is>
      </c>
    </row>
    <row r="13" ht="4" customHeight="1"/>
    <row r="14" ht="17" customHeight="1">
      <c r="B14" s="6" t="inlineStr">
        <is>
          <t>B · DO YOU EVEN HAVE A PROBLEM? · one point for each yes</t>
        </is>
      </c>
      <c r="C14" s="7" t="n"/>
      <c r="D14" s="7" t="n"/>
      <c r="E14" s="7" t="n"/>
      <c r="F14" s="7" t="n"/>
    </row>
    <row r="15" ht="16" customHeight="1">
      <c r="B15" s="56" t="inlineStr">
        <is>
          <t>#</t>
        </is>
      </c>
      <c r="C15" s="56" t="inlineStr">
        <is>
          <t>Symptom</t>
        </is>
      </c>
      <c r="D15" s="56" t="inlineStr">
        <is>
          <t>Yes / No</t>
        </is>
      </c>
      <c r="E15" s="56" t="inlineStr"/>
      <c r="F15" s="7" t="n"/>
    </row>
    <row r="16" ht="17" customHeight="1">
      <c r="B16" s="202" t="n">
        <v>1</v>
      </c>
      <c r="C16" s="203" t="inlineStr">
        <is>
          <t>Prices are set by cost-plus or gut, not by customer response.</t>
        </is>
      </c>
      <c r="D16" s="32" t="n"/>
    </row>
    <row r="17" ht="17" customHeight="1">
      <c r="B17" s="202" t="n">
        <v>2</v>
      </c>
      <c r="C17" s="203" t="inlineStr">
        <is>
          <t>Cost increases take months to reach the price list.</t>
        </is>
      </c>
      <c r="D17" s="32" t="n"/>
    </row>
    <row r="18" ht="17" customHeight="1">
      <c r="B18" s="202" t="n">
        <v>3</v>
      </c>
      <c r="C18" s="203" t="inlineStr">
        <is>
          <t>Discounts vary widely and no one can fully explain them.</t>
        </is>
      </c>
      <c r="D18" s="32" t="n"/>
    </row>
    <row r="19" ht="17" customHeight="1">
      <c r="B19" s="202" t="n">
        <v>4</v>
      </c>
      <c r="C19" s="203" t="inlineStr">
        <is>
          <t>Margins are slipping even as revenue grows.</t>
        </is>
      </c>
      <c r="D19" s="32" t="n"/>
    </row>
    <row r="20" ht="17" customHeight="1">
      <c r="B20" s="202" t="n">
        <v>5</v>
      </c>
      <c r="C20" s="203" t="inlineStr">
        <is>
          <t>Pricing lives in a spreadsheet only one person understands.</t>
        </is>
      </c>
      <c r="D20" s="32" t="n"/>
    </row>
    <row r="21" ht="17" customHeight="1">
      <c r="B21" s="202" t="n">
        <v>6</v>
      </c>
      <c r="C21" s="203" t="inlineStr">
        <is>
          <t>Sales effectively sets price; there's no pricing owner.</t>
        </is>
      </c>
      <c r="D21" s="32" t="n"/>
    </row>
    <row r="22" ht="17" customHeight="1">
      <c r="B22" s="202" t="n">
        <v>7</v>
      </c>
      <c r="C22" s="203" t="inlineStr">
        <is>
          <t>We can't see promo or discount ROI.</t>
        </is>
      </c>
      <c r="D22" s="32" t="n"/>
    </row>
    <row r="23" ht="17" customHeight="1">
      <c r="B23" s="202" t="n">
        <v>8</v>
      </c>
      <c r="C23" s="203" t="inlineStr">
        <is>
          <t>Nobody has sized what better pricing is worth.</t>
        </is>
      </c>
      <c r="D23" s="32" t="n"/>
    </row>
    <row r="24" ht="17" customHeight="1">
      <c r="B24" s="202" t="n">
        <v>9</v>
      </c>
      <c r="C24" s="203" t="inlineStr">
        <is>
          <t>A past price move went badly and nothing changed since.</t>
        </is>
      </c>
      <c r="D24" s="32" t="n"/>
    </row>
    <row r="25" ht="17" customHeight="1">
      <c r="B25" s="202" t="n">
        <v>10</v>
      </c>
      <c r="C25" s="203" t="inlineStr">
        <is>
          <t>“We should do something with AI” but no one knows where to start.</t>
        </is>
      </c>
      <c r="D25" s="32" t="n"/>
    </row>
    <row r="26" ht="20" customHeight="1">
      <c r="C26" s="201" t="inlineStr">
        <is>
          <t>Your score (number of yeses)</t>
        </is>
      </c>
      <c r="D26" s="204">
        <f>COUNTIF($D$16:$D$25,"Yes")</f>
        <v>0</v>
      </c>
    </row>
    <row r="27" ht="30" customHeight="1">
      <c r="C27" s="205" t="str">
        <f>IF(COUNTA($D$16:$D$25)=0,"Answer the ten questions above",IF(SelfCheckScore&gt;=4,"The symptoms are here. The right first step is a diagnostic: 2–6 weeks, value visible in 30–60 days, and it becomes the baseline for your case.",IF(COUNTA($D$16:$D$25)&lt;10,"You have answered "&amp;COUNTA($D$16:$D$25)&amp;" of 10 so far. Finish the list to see the verdict.","You already price. Use this workbook to make the case for the bigger program — a focused sprint or a capability build.")))</f>
        <v>Answer the ten questions above</v>
      </c>
    </row>
    <row r="28" ht="4" customHeight="1"/>
    <row r="29" ht="17" customHeight="1">
      <c r="B29" s="6" t="inlineStr">
        <is>
          <t>C · RECOMMENDED FIRST STEP</t>
        </is>
      </c>
      <c r="C29" s="7" t="n"/>
      <c r="D29" s="7" t="n"/>
      <c r="E29" s="7" t="n"/>
      <c r="F29" s="7" t="n"/>
    </row>
    <row r="30" ht="22" customHeight="1">
      <c r="C30" s="201" t="inlineStr">
        <is>
          <t>For your company</t>
        </is>
      </c>
      <c r="D30" s="206" t="str">
        <f>IF(Revenue="","Enter revenue on tab 1",IF(OR(SelfCheckScore&gt;=4,IF(MaturityStep="",FALSE,VALUE(LEFT(MaturityStep,1))&lt;=2)),"Diagnostic first",IF(AND(COUNTA($D$16:$D$25)=0,MaturityStep=""),IF(Band=3,"Focused sprint on one area","Diagnostic first")&amp;" (typical for your size; answer the questions above to confirm)",IF(Band=3,"Focused sprint on one area","Sprint, then decide")))&amp;IF(RouteUsed="Ourselves first"," (after your own in-house first pass)",""))</f>
        <v>Enter revenue on tab 1</v>
      </c>
    </row>
    <row r="31" ht="20" customHeight="1">
      <c r="C31" s="16" t="inlineStr">
        <is>
          <t>This uses your answers above and your company size on tab 1. The webinar closed with three ways forward:</t>
        </is>
      </c>
    </row>
    <row r="32" ht="18" customHeight="1">
      <c r="B32" s="200" t="n">
        <v>1</v>
      </c>
      <c r="C32" s="207" t="inlineStr">
        <is>
          <t>Do nothing</t>
        </is>
      </c>
      <c r="D32" s="203" t="inlineStr">
        <is>
          <t>The cost-of-waiting math runs whether you act or not. The next budget window is a year away.</t>
        </is>
      </c>
      <c r="E32" s="18" t="n"/>
      <c r="F32" s="18" t="n"/>
    </row>
    <row r="33" ht="18" customHeight="1">
      <c r="B33" s="200" t="n">
        <v>2</v>
      </c>
      <c r="C33" s="207" t="inlineStr">
        <is>
          <t>Build it yourself</t>
        </is>
      </c>
      <c r="D33" s="203" t="inlineStr">
        <is>
          <t>Take the Canvas and the Playbook, fill them in, and put one page in front of your CFO before the window closes.</t>
        </is>
      </c>
      <c r="E33" s="18" t="n"/>
      <c r="F33" s="18" t="n"/>
    </row>
    <row r="34" ht="18" customHeight="1">
      <c r="B34" s="200" t="n">
        <v>3</v>
      </c>
      <c r="C34" s="207" t="inlineStr">
        <is>
          <t>Build it with us</t>
        </is>
      </c>
      <c r="D34" s="203" t="inlineStr">
        <is>
          <t>Start with a 2–6 week diagnostic: sized opportunity, quick wins, and the baseline for your case. Revify's fees are public.</t>
        </is>
      </c>
      <c r="E34" s="18" t="n"/>
      <c r="F34" s="18" t="n"/>
    </row>
    <row r="35" ht="18" customHeight="1">
      <c r="C35" s="16" t="inlineStr">
        <is>
          <t>Whichever option you pick — budget funding requires discipline and preparation.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9">
    <mergeCell ref="C8:F8"/>
    <mergeCell ref="D32:F32"/>
    <mergeCell ref="C7:F7"/>
    <mergeCell ref="B2:F2"/>
    <mergeCell ref="D11:E11"/>
    <mergeCell ref="B1:F1"/>
    <mergeCell ref="B14:F14"/>
    <mergeCell ref="D30:F30"/>
    <mergeCell ref="D33:F33"/>
    <mergeCell ref="B29:F29"/>
    <mergeCell ref="E15:F15"/>
    <mergeCell ref="C35:F35"/>
    <mergeCell ref="C10:F10"/>
    <mergeCell ref="D34:F34"/>
    <mergeCell ref="C9:F9"/>
    <mergeCell ref="C31:F31"/>
    <mergeCell ref="B6:F6"/>
    <mergeCell ref="C12:F12"/>
    <mergeCell ref="C27:F27"/>
  </mergeCells>
  <dataValidations count="2">
    <dataValidation sqref="D11" showDropDown="0" showInputMessage="1" showErrorMessage="1" allowBlank="1" errorTitle="RGM Initiative Playbook" error="Pick from the list" prompt="Pick the step that describes you today." type="list" errorStyle="stop">
      <formula1>"1 · Gut feel,2 · Descriptive,3 · Analytics,4 · Optimized"</formula1>
    </dataValidation>
    <dataValidation sqref="D16:D25" showDropDown="0" showInputMessage="0" showErrorMessage="1" allowBlank="1" errorTitle="RGM Initiative Playbook" error="Pick from the list" type="list" errorStyle="stop">
      <formula1>"Yes,No"</formula1>
    </dataValidation>
  </dataValidations>
  <hyperlinks>
    <hyperlink ref="C4" location="'Start Here'!A1" display="← Start Here"/>
    <hyperlink ref="D4" location="'7 Make It Stick'!A1" display="← Previous"/>
    <hyperlink ref="E4" location="'Benchmarks'!A1" display="Next →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5A6770"/>
    <outlinePr summaryBelow="1" summaryRight="1"/>
    <pageSetUpPr fitToPage="1"/>
  </sheetPr>
  <dimension ref="A1:G38"/>
  <sheetViews>
    <sheetView showGridLines="0" zoomScale="10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4" customWidth="1" min="1" max="1"/>
    <col width="4" customWidth="1" min="2" max="2"/>
    <col width="32" customWidth="1" min="3" max="3"/>
    <col width="34" customWidth="1" min="4" max="4"/>
    <col width="62" customWidth="1" min="5" max="5"/>
    <col width="26" customWidth="1" min="6" max="6"/>
    <col width="2.4" customWidth="1" min="7" max="7"/>
  </cols>
  <sheetData>
    <row r="1" ht="30" customHeight="1">
      <c r="A1" s="1" t="n"/>
      <c r="B1" s="2" t="inlineStr">
        <is>
          <t>Benchmarks &amp; the Seven Reasons</t>
        </is>
      </c>
      <c r="C1" s="1" t="n"/>
      <c r="D1" s="1" t="n"/>
      <c r="E1" s="1" t="n"/>
      <c r="F1" s="1" t="n"/>
      <c r="G1" s="1" t="n"/>
    </row>
    <row r="2" ht="20" customHeight="1">
      <c r="A2" s="1" t="n"/>
      <c r="B2" s="3" t="inlineStr">
        <is>
          <t>What's normal for a company your size, the industry medians behind tab 1, and why initiatives stall.</t>
        </is>
      </c>
      <c r="C2" s="1" t="n"/>
      <c r="D2" s="1" t="n"/>
      <c r="E2" s="1" t="n"/>
      <c r="F2" s="1" t="n"/>
      <c r="G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</row>
    <row r="4" ht="16" customHeight="1">
      <c r="B4" s="5" t="inlineStr">
        <is>
          <t>← Start Here</t>
        </is>
      </c>
      <c r="D4" s="5" t="inlineStr">
        <is>
          <t>← Previous</t>
        </is>
      </c>
      <c r="F4" s="5" t="inlineStr">
        <is>
          <t>Next →</t>
        </is>
      </c>
    </row>
    <row r="5" ht="4" customHeight="1"/>
    <row r="6" ht="17" customHeight="1">
      <c r="B6" s="6" t="inlineStr">
        <is>
          <t>BENCHMARKS BY COMPANY SIZE</t>
        </is>
      </c>
      <c r="C6" s="7" t="n"/>
      <c r="D6" s="7" t="n"/>
      <c r="E6" s="7" t="n"/>
      <c r="F6" s="7" t="n"/>
    </row>
    <row r="7" ht="20" customHeight="1">
      <c r="B7" s="64" t="inlineStr">
        <is>
          <t>Your size band</t>
        </is>
      </c>
      <c r="D7" s="31" t="str">
        <f>Band</f>
        <v/>
      </c>
      <c r="E7" s="16" t="str">
        <f>IF(Revenue="","← Enter your revenue on tab 1 to highlight your row.",CHOOSE(Band,"Under $100M","$100M–$1B","$1B+")&amp;" — highlighted below. This band sets the suggested ladder on tab 3.")</f>
        <v>← Enter your revenue on tab 1 to highlight your row.</v>
      </c>
    </row>
    <row r="8" ht="16" customHeight="1">
      <c r="B8" s="56" t="inlineStr">
        <is>
          <t>Company profile</t>
        </is>
      </c>
      <c r="C8" s="7" t="n"/>
      <c r="D8" s="56" t="inlineStr">
        <is>
          <t>Sensible first step</t>
        </is>
      </c>
      <c r="E8" s="56" t="inlineStr">
        <is>
          <t>Typical program</t>
        </is>
      </c>
      <c r="F8" s="56" t="inlineStr">
        <is>
          <t>Value at stake</t>
        </is>
      </c>
    </row>
    <row r="9" ht="26" customHeight="1">
      <c r="B9" s="116" t="inlineStr">
        <is>
          <t>$10–100M · manufacturer / distributor, no pricing team yet</t>
        </is>
      </c>
      <c r="C9" s="18" t="n"/>
      <c r="D9" s="208" t="inlineStr">
        <is>
          <t>Diagnostic · $25–45K</t>
        </is>
      </c>
      <c r="E9" s="208" t="inlineStr">
        <is>
          <t>Sprint, then decide · $70–135K</t>
        </is>
      </c>
      <c r="F9" s="208" t="str">
        <f>IF(Band=1,"Yours: "&amp;IF(ABS((PrizeLow))&gt;=1000000,TEXT((PrizeLow)/1000000,"$0.0")&amp;"M",TEXT((PrizeLow)/1000,"$#,##0")&amp;"K")&amp;"–"&amp;IF(ABS((PrizeMid))&gt;=1000000,TEXT((PrizeMid)/1000000,"$0.0")&amp;"M",TEXT((PrizeMid)/1000,"$#,##0")&amp;"K")&amp;" / yr (typical $0.1–2M)","$0.1–2M / yr")</f>
        <v>$0.1–2M / yr</v>
      </c>
    </row>
    <row r="10" ht="26" customHeight="1">
      <c r="B10" s="116" t="inlineStr">
        <is>
          <t>$100M–$1B · mid-market, small team or first hire</t>
        </is>
      </c>
      <c r="C10" s="18" t="n"/>
      <c r="D10" s="208" t="inlineStr">
        <is>
          <t>Diagnostic → sprint · $70–135K</t>
        </is>
      </c>
      <c r="E10" s="208" t="inlineStr">
        <is>
          <t>Capability build · $135–270K</t>
        </is>
      </c>
      <c r="F10" s="208" t="str">
        <f>IF(Band=2,"Yours: "&amp;IF(ABS((PrizeLow))&gt;=1000000,TEXT((PrizeLow)/1000000,"$0.0")&amp;"M",TEXT((PrizeLow)/1000,"$#,##0")&amp;"K")&amp;"–"&amp;IF(ABS((PrizeMid))&gt;=1000000,TEXT((PrizeMid)/1000000,"$0.0")&amp;"M",TEXT((PrizeMid)/1000,"$#,##0")&amp;"K")&amp;" / yr (typical $1–20M)","$1–20M / yr")</f>
        <v>$1–20M / yr</v>
      </c>
    </row>
    <row r="11" ht="26" customHeight="1">
      <c r="B11" s="116" t="inlineStr">
        <is>
          <t>$1B+ · enterprise, RGM team in place</t>
        </is>
      </c>
      <c r="C11" s="18" t="n"/>
      <c r="D11" s="208" t="inlineStr">
        <is>
          <t>Focused sprint on one focus area</t>
        </is>
      </c>
      <c r="E11" s="208" t="inlineStr">
        <is>
          <t>Phased build $270–540K+ (enterprise AI: $5–20M)</t>
        </is>
      </c>
      <c r="F11" s="208" t="str">
        <f>IF(Band=3,"Yours: "&amp;IF(ABS((PrizeLow))&gt;=1000000,TEXT((PrizeLow)/1000000,"$0.0")&amp;"M",TEXT((PrizeLow)/1000,"$#,##0")&amp;"K")&amp;"–"&amp;IF(ABS((PrizeMid))&gt;=1000000,TEXT((PrizeMid)/1000000,"$0.0")&amp;"M",TEXT((PrizeMid)/1000,"$#,##0")&amp;"K")&amp;" / yr (typical $10M+)","$10M+ / yr")</f>
        <v>$10M+ / yr</v>
      </c>
    </row>
    <row r="12" ht="26" customHeight="1">
      <c r="B12" s="16" t="inlineStr">
        <is>
          <t>Fees: Revology Analytics / Revify 2025–26 engagement benchmarks, rounded (Revify's are public). Enterprise AI deployment range per Gartner (2024). Value rule: 1–2% of sales is the conservative case; best-in-class programs reach 2–5% (200–500 bps).</t>
        </is>
      </c>
    </row>
    <row r="13" ht="4" customHeight="1"/>
    <row r="14" ht="17" customHeight="1">
      <c r="B14" s="6" t="inlineStr">
        <is>
          <t>INDUSTRY MEDIANS · operating-profit gain per 1% of price realization · the list behind tab 1</t>
        </is>
      </c>
      <c r="C14" s="7" t="n"/>
      <c r="D14" s="7" t="n"/>
      <c r="E14" s="7" t="n"/>
      <c r="F14" s="7" t="n"/>
    </row>
    <row r="15" ht="15" customHeight="1">
      <c r="B15" s="17" t="inlineStr">
        <is>
          <t>Industry</t>
        </is>
      </c>
      <c r="C15" s="7" t="n"/>
      <c r="D15" s="17" t="inlineStr">
        <is>
          <t>Median gain</t>
        </is>
      </c>
      <c r="E15" s="17" t="inlineStr">
        <is>
          <t>Note</t>
        </is>
      </c>
      <c r="F15" s="7" t="n"/>
    </row>
    <row r="16" ht="14" customHeight="1">
      <c r="B16" s="18" t="n"/>
      <c r="C16" s="209" t="inlineStr">
        <is>
          <t>Automotive</t>
        </is>
      </c>
      <c r="D16" s="210" t="n">
        <v>0.174</v>
      </c>
      <c r="E16" s="192" t="inlineStr"/>
      <c r="F16" s="18" t="n"/>
    </row>
    <row r="17" ht="14" customHeight="1">
      <c r="B17" s="18" t="n"/>
      <c r="C17" s="209" t="inlineStr">
        <is>
          <t>Consumer Staples</t>
        </is>
      </c>
      <c r="D17" s="210" t="n">
        <v>0.092</v>
      </c>
      <c r="E17" s="192" t="inlineStr"/>
      <c r="F17" s="18" t="n"/>
    </row>
    <row r="18" ht="14" customHeight="1">
      <c r="B18" s="18" t="n"/>
      <c r="C18" s="209" t="inlineStr">
        <is>
          <t>Distribution</t>
        </is>
      </c>
      <c r="D18" s="210" t="n">
        <v>0.11</v>
      </c>
      <c r="E18" s="192" t="inlineStr">
        <is>
          <t>The thin-margin case: see the callout on tab 1.</t>
        </is>
      </c>
      <c r="F18" s="18" t="n"/>
    </row>
    <row r="19" ht="14" customHeight="1">
      <c r="B19" s="18" t="n"/>
      <c r="C19" s="209" t="inlineStr">
        <is>
          <t>Financial Services</t>
        </is>
      </c>
      <c r="D19" s="210" t="n">
        <v>0.022</v>
      </c>
      <c r="E19" s="192" t="inlineStr"/>
      <c r="F19" s="18" t="n"/>
    </row>
    <row r="20" ht="14" customHeight="1">
      <c r="B20" s="18" t="n"/>
      <c r="C20" s="209" t="inlineStr">
        <is>
          <t>Industrials</t>
        </is>
      </c>
      <c r="D20" s="210" t="n">
        <v>0.094</v>
      </c>
      <c r="E20" s="192" t="inlineStr"/>
      <c r="F20" s="18" t="n"/>
    </row>
    <row r="21" ht="14" customHeight="1">
      <c r="B21" s="18" t="n"/>
      <c r="C21" s="209" t="inlineStr">
        <is>
          <t>Manufacturing</t>
        </is>
      </c>
      <c r="D21" s="210">
        <f>D20</f>
        <v>0.094</v>
      </c>
      <c r="E21" s="192" t="inlineStr">
        <is>
          <t>Uses the Industrials median.</t>
        </is>
      </c>
      <c r="F21" s="18" t="n"/>
    </row>
    <row r="22" ht="14" customHeight="1">
      <c r="B22" s="18" t="n"/>
      <c r="C22" s="209" t="inlineStr">
        <is>
          <t>Real Estate</t>
        </is>
      </c>
      <c r="D22" s="210" t="n">
        <v>0.031</v>
      </c>
      <c r="E22" s="192" t="inlineStr"/>
      <c r="F22" s="18" t="n"/>
    </row>
    <row r="23" ht="14" customHeight="1">
      <c r="B23" s="18" t="n"/>
      <c r="C23" s="209" t="inlineStr">
        <is>
          <t>Utilities</t>
        </is>
      </c>
      <c r="D23" s="210" t="n">
        <v>0.044</v>
      </c>
      <c r="E23" s="192" t="inlineStr"/>
      <c r="F23" s="18" t="n"/>
    </row>
    <row r="24" ht="14" customHeight="1">
      <c r="B24" s="18" t="n"/>
      <c r="C24" s="209" t="inlineStr">
        <is>
          <t>Other / not listed</t>
        </is>
      </c>
      <c r="D24" s="210">
        <f>D25</f>
        <v>0.064</v>
      </c>
      <c r="E24" s="192" t="inlineStr">
        <is>
          <t>Uses the all-industries median.</t>
        </is>
      </c>
      <c r="F24" s="18" t="n"/>
    </row>
    <row r="25" ht="14" customHeight="1">
      <c r="C25" s="211" t="inlineStr">
        <is>
          <t>All industries (overall median)</t>
        </is>
      </c>
      <c r="D25" s="212" t="n">
        <v>0.064</v>
      </c>
    </row>
    <row r="26" ht="24" customHeight="1">
      <c r="B26" s="16" t="inlineStr">
        <is>
          <t>“Excluding regulated industries” ≈ 10–11% (shown at the midpoint 10.5% in the research). Manufacturing uses the Industrials median; “Other / not listed” uses the overall median.</t>
        </is>
      </c>
    </row>
    <row r="27" ht="14" customHeight="1">
      <c r="B27" s="16" t="inlineStr">
        <is>
          <t>Source: Revology Analytics, 2025 Global Price Impact Research — ~2,000 public companies.</t>
        </is>
      </c>
    </row>
    <row r="28" ht="4" customHeight="1"/>
    <row r="29" ht="17" customHeight="1">
      <c r="B29" s="6" t="inlineStr">
        <is>
          <t>SEVEN REASONS INITIATIVES STALL → THE FIX → WHERE IN THIS WORKBOOK</t>
        </is>
      </c>
      <c r="C29" s="7" t="n"/>
      <c r="D29" s="7" t="n"/>
      <c r="E29" s="7" t="n"/>
      <c r="F29" s="7" t="n"/>
    </row>
    <row r="30" ht="16" customHeight="1">
      <c r="B30" s="17" t="inlineStr">
        <is>
          <t>#</t>
        </is>
      </c>
      <c r="C30" s="17" t="inlineStr">
        <is>
          <t>Why it stalls</t>
        </is>
      </c>
      <c r="D30" s="17" t="inlineStr">
        <is>
          <t>The fix</t>
        </is>
      </c>
      <c r="E30" s="17" t="inlineStr">
        <is>
          <t>The evidence</t>
        </is>
      </c>
      <c r="F30" s="17" t="inlineStr">
        <is>
          <t>Where in this workbook</t>
        </is>
      </c>
    </row>
    <row r="31" ht="26" customHeight="1">
      <c r="B31" s="213" t="n">
        <v>1</v>
      </c>
      <c r="C31" s="214" t="inlineStr">
        <is>
          <t>No business case — the prize never gets sized</t>
        </is>
      </c>
      <c r="D31" s="215" t="inlineStr">
        <is>
          <t>Size it with a value tree; stage-gate the spend</t>
        </is>
      </c>
      <c r="E31" s="216" t="inlineStr">
        <is>
          <t>≥50% of GenAI projects are abandoned after the pilot; &gt;80% of firms report no enterprise EBIT impact from gen AI (Gartner 2026; McKinsey 2025)</t>
        </is>
      </c>
      <c r="F31" s="217" t="inlineStr">
        <is>
          <t>Tabs 1–2, 3</t>
        </is>
      </c>
    </row>
    <row r="32" ht="26" customHeight="1">
      <c r="B32" s="213" t="n">
        <v>2</v>
      </c>
      <c r="C32" s="214" t="inlineStr">
        <is>
          <t>No cross-functional alignment — Finance, Sales and Ops never co-own it</t>
        </is>
      </c>
      <c r="D32" s="215" t="inlineStr">
        <is>
          <t>Cross-functional council + RACI; co-own before launch</t>
        </is>
      </c>
      <c r="E32" s="216" t="inlineStr">
        <is>
          <t>97% of price increases miss their target, chiefly from cross-functional mistakes (Simon-Kucher)</t>
        </is>
      </c>
      <c r="F32" s="217" t="inlineStr">
        <is>
          <t>Tab 5</t>
        </is>
      </c>
    </row>
    <row r="33" ht="26" customHeight="1">
      <c r="B33" s="213" t="n">
        <v>3</v>
      </c>
      <c r="C33" s="214" t="inlineStr">
        <is>
          <t>Unclear where to start — no obvious first step</t>
        </is>
      </c>
      <c r="D33" s="215" t="inlineStr">
        <is>
          <t>Impact-vs-feasibility matrix; diagnostic → quick win → scale</t>
        </is>
      </c>
      <c r="E33" s="216" t="inlineStr">
        <is>
          <t>40% of firms stay “stuck in the sandbox” — experimenting, never deploying (IBM 2023)</t>
        </is>
      </c>
      <c r="F33" s="217" t="inlineStr">
        <is>
          <t>Self-Check, tab 3</t>
        </is>
      </c>
    </row>
    <row r="34" ht="26" customHeight="1">
      <c r="B34" s="213" t="n">
        <v>4</v>
      </c>
      <c r="C34" s="214" t="inlineStr">
        <is>
          <t>No owner or sponsor — no name attached</t>
        </is>
      </c>
      <c r="D34" s="215" t="inlineStr">
        <is>
          <t>Name one sponsor + one owner with decision rights</t>
        </is>
      </c>
      <c r="E34" s="216" t="inlineStr">
        <is>
          <t>Fewer than two-thirds of initiatives have an engaged sponsor, yet sponsorship is the #1 predictor of success (PMI; Prosci)</t>
        </is>
      </c>
      <c r="F34" s="217" t="inlineStr">
        <is>
          <t>Tabs 4, 5</t>
        </is>
      </c>
    </row>
    <row r="35" ht="26" customHeight="1">
      <c r="B35" s="213" t="n">
        <v>5</v>
      </c>
      <c r="C35" s="214" t="inlineStr">
        <is>
          <t>Adoption is an afterthought</t>
        </is>
      </c>
      <c r="D35" s="215" t="inlineStr">
        <is>
          <t>ADKAR; budget change management as a workstream</t>
        </is>
      </c>
      <c r="E35" s="216" t="inlineStr">
        <is>
          <t>~70% of transformations fall short; highly effective sponsorship makes teams ~3.5× more likely to meet objectives (McKinsey/BCG; Prosci)</t>
        </is>
      </c>
      <c r="F35" s="217" t="inlineStr">
        <is>
          <t>Tabs 3, 7</t>
        </is>
      </c>
    </row>
    <row r="36" ht="26" customHeight="1">
      <c r="B36" s="213" t="n">
        <v>6</v>
      </c>
      <c r="C36" s="214" t="inlineStr">
        <is>
          <t>ROI fear / past burn</t>
        </is>
      </c>
      <c r="D36" s="215" t="inlineStr">
        <is>
          <t>Time-boxed pilot; independent baseline; proven over speculative</t>
        </is>
      </c>
      <c r="E36" s="216" t="inlineStr">
        <is>
          <t>~95% of enterprise GenAI pilots show no P&amp;L impact; purchased tools succeed roughly twice as often as internal builds (MIT 2025)</t>
        </is>
      </c>
      <c r="F36" s="217" t="inlineStr">
        <is>
          <t>Tabs 3b, 6</t>
        </is>
      </c>
    </row>
    <row r="37" ht="26" customHeight="1">
      <c r="B37" s="213" t="n">
        <v>7</v>
      </c>
      <c r="C37" s="214" t="inlineStr">
        <is>
          <t>Pilots that never scale</t>
        </is>
      </c>
      <c r="D37" s="215" t="inlineStr">
        <is>
          <t>Design for production; fix the data first</t>
        </is>
      </c>
      <c r="E37" s="216" t="inlineStr">
        <is>
          <t>95% of pilots never reach production; top barriers are skills (33%) and data (25%) (MIT 2025; McKinsey 2024; IBM 2023)</t>
        </is>
      </c>
      <c r="F37" s="217" t="inlineStr">
        <is>
          <t>Tabs 3, 6</t>
        </is>
      </c>
    </row>
    <row r="38" ht="20" customHeight="1">
      <c r="B38" s="174" t="inlineStr">
        <is>
          <t>Every one is solved by making the initiative sized, owned, sequenced, and measured — before you ask for the money.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6">
    <mergeCell ref="B7:C7"/>
    <mergeCell ref="E24:F24"/>
    <mergeCell ref="E23:F23"/>
    <mergeCell ref="E17:F17"/>
    <mergeCell ref="B27:F27"/>
    <mergeCell ref="B12:F12"/>
    <mergeCell ref="E20:F20"/>
    <mergeCell ref="B2:F2"/>
    <mergeCell ref="B11:C11"/>
    <mergeCell ref="E19:F19"/>
    <mergeCell ref="B1:F1"/>
    <mergeCell ref="B14:F14"/>
    <mergeCell ref="B8:C8"/>
    <mergeCell ref="B29:F29"/>
    <mergeCell ref="B38:F38"/>
    <mergeCell ref="E15:F15"/>
    <mergeCell ref="B10:C10"/>
    <mergeCell ref="B9:C9"/>
    <mergeCell ref="B6:F6"/>
    <mergeCell ref="B15:C15"/>
    <mergeCell ref="E16:F16"/>
    <mergeCell ref="E7:F7"/>
    <mergeCell ref="E22:F22"/>
    <mergeCell ref="E18:F18"/>
    <mergeCell ref="B26:F26"/>
    <mergeCell ref="E21:F21"/>
  </mergeCells>
  <conditionalFormatting sqref="B9:F9">
    <cfRule type="expression" priority="1" dxfId="16" stopIfTrue="0">
      <formula>$D$7=1</formula>
    </cfRule>
  </conditionalFormatting>
  <conditionalFormatting sqref="B10:F10">
    <cfRule type="expression" priority="2" dxfId="16" stopIfTrue="0">
      <formula>$D$7=2</formula>
    </cfRule>
  </conditionalFormatting>
  <conditionalFormatting sqref="B11:F11">
    <cfRule type="expression" priority="3" dxfId="16" stopIfTrue="0">
      <formula>$D$7=3</formula>
    </cfRule>
  </conditionalFormatting>
  <hyperlinks>
    <hyperlink ref="B4" location="'Start Here'!A1" display="← Start Here"/>
    <hyperlink ref="D4" location="'Self-Check'!A1" display="← Previous"/>
    <hyperlink ref="F4" location="'Sources'!A1" display="Next →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tabColor rgb="005A6770"/>
    <outlinePr summaryBelow="1" summaryRight="1"/>
    <pageSetUpPr fitToPage="1"/>
  </sheetPr>
  <dimension ref="A1:G27"/>
  <sheetViews>
    <sheetView showGridLines="0" zoomScale="100" zoomScaleNormal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.4" customWidth="1" min="1" max="1"/>
    <col width="14" customWidth="1" min="2" max="2"/>
    <col width="48" customWidth="1" min="3" max="3"/>
    <col width="3" customWidth="1" min="4" max="4"/>
    <col width="14" customWidth="1" min="5" max="5"/>
    <col width="48" customWidth="1" min="6" max="6"/>
    <col width="2.4" customWidth="1" min="7" max="7"/>
  </cols>
  <sheetData>
    <row r="1" ht="30" customHeight="1">
      <c r="A1" s="1" t="n"/>
      <c r="B1" s="2" t="inlineStr">
        <is>
          <t>Sources &amp; Who's Behind It</t>
        </is>
      </c>
      <c r="C1" s="1" t="n"/>
      <c r="D1" s="1" t="n"/>
      <c r="E1" s="1" t="n"/>
      <c r="F1" s="1" t="n"/>
      <c r="G1" s="1" t="n"/>
    </row>
    <row r="2" ht="20" customHeight="1">
      <c r="A2" s="1" t="n"/>
      <c r="B2" s="3" t="inlineStr">
        <is>
          <t>The evidence behind the numbers in this Playbook and the webinar.</t>
        </is>
      </c>
      <c r="C2" s="1" t="n"/>
      <c r="D2" s="1" t="n"/>
      <c r="E2" s="1" t="n"/>
      <c r="F2" s="1" t="n"/>
      <c r="G2" s="1" t="n"/>
    </row>
    <row r="3" ht="3" customHeight="1">
      <c r="A3" s="4" t="n"/>
      <c r="B3" s="4" t="n"/>
      <c r="C3" s="4" t="n"/>
      <c r="D3" s="4" t="n"/>
      <c r="E3" s="4" t="n"/>
      <c r="F3" s="4" t="n"/>
      <c r="G3" s="4" t="n"/>
    </row>
    <row r="4" ht="16" customHeight="1">
      <c r="B4" s="5" t="inlineStr">
        <is>
          <t>← Start Here</t>
        </is>
      </c>
      <c r="C4" s="5" t="inlineStr">
        <is>
          <t>← Previous</t>
        </is>
      </c>
    </row>
    <row r="5" ht="4" customHeight="1"/>
    <row r="6" ht="17" customHeight="1">
      <c r="B6" s="6" t="inlineStr">
        <is>
          <t>THE EVIDENCE BEHIND THIS PLAYBOOK</t>
        </is>
      </c>
      <c r="C6" s="7" t="n"/>
      <c r="D6" s="7" t="n"/>
      <c r="E6" s="7" t="n"/>
      <c r="F6" s="7" t="n"/>
    </row>
    <row r="7" ht="18" customHeight="1">
      <c r="B7" s="218" t="inlineStr">
        <is>
          <t>Pricing &amp; value</t>
        </is>
      </c>
      <c r="C7" s="18" t="n"/>
      <c r="E7" s="218" t="inlineStr">
        <is>
          <t>Investment, execution &amp; change</t>
        </is>
      </c>
      <c r="F7" s="18" t="n"/>
    </row>
    <row r="8" ht="16" customHeight="1">
      <c r="B8" s="52" t="inlineStr">
        <is>
          <t>Revology Analytics — 2025 RGA Maturity Report (n=52 commercial leaders)</t>
        </is>
      </c>
      <c r="E8" s="52" t="inlineStr">
        <is>
          <t>MIT NANDA — The GenAI Divide: State of AI in Business (2025)</t>
        </is>
      </c>
    </row>
    <row r="9" ht="16" customHeight="1">
      <c r="B9" s="52" t="inlineStr">
        <is>
          <t>Revology Analytics — 2025 Global Price Impact Research (~2,000 public companies)</t>
        </is>
      </c>
      <c r="E9" s="52" t="inlineStr">
        <is>
          <t>Gartner — GenAI spend &amp; project abandonment (2024–2026)</t>
        </is>
      </c>
    </row>
    <row r="10" ht="16" customHeight="1">
      <c r="B10" s="52" t="inlineStr">
        <is>
          <t>Marn &amp; Rosiello — Managing Price, Gaining Profit, HBR (1992)</t>
        </is>
      </c>
      <c r="E10" s="52" t="inlineStr">
        <is>
          <t>IBM Institute for Business Value — CIO AI-spend study (2026)</t>
        </is>
      </c>
    </row>
    <row r="11" ht="16" customHeight="1">
      <c r="B11" s="52" t="inlineStr">
        <is>
          <t>McKinsey — The Power of Pricing (2003)</t>
        </is>
      </c>
      <c r="E11" s="52" t="inlineStr">
        <is>
          <t>McKinsey / BCG — Why transformations fail (~70%)</t>
        </is>
      </c>
    </row>
    <row r="12" ht="16" customHeight="1">
      <c r="B12" s="52" t="inlineStr">
        <is>
          <t>McKinsey — Distributors' Most Powerful Value-Creation Lever (2019)</t>
        </is>
      </c>
      <c r="E12" s="52" t="inlineStr">
        <is>
          <t>PMI — Executive Sponsor Engagement (Pulse of the Profession)</t>
        </is>
      </c>
    </row>
    <row r="13" ht="16" customHeight="1">
      <c r="B13" s="52" t="inlineStr">
        <is>
          <t>Simon-Kucher — Global Pricing Study 2025</t>
        </is>
      </c>
      <c r="E13" s="52" t="inlineStr">
        <is>
          <t>Prosci — Top Contributors to Change Success</t>
        </is>
      </c>
    </row>
    <row r="14" ht="16" customHeight="1">
      <c r="B14" s="52" t="inlineStr">
        <is>
          <t>Bain — B2B Pricing Mistakes, 1,700+ companies (2018)</t>
        </is>
      </c>
      <c r="E14" s="52" t="inlineStr">
        <is>
          <t>Kotter — Leading Change</t>
        </is>
      </c>
    </row>
    <row r="15" ht="16" customHeight="1">
      <c r="B15" s="52" t="inlineStr">
        <is>
          <t>Vendavo — The Power of the Price Waterfall</t>
        </is>
      </c>
    </row>
    <row r="16" ht="16" customHeight="1">
      <c r="B16" s="52" t="inlineStr">
        <is>
          <t>NYU Stern / Damodaran — Margins by Sector (2026)</t>
        </is>
      </c>
    </row>
    <row r="17" ht="16" customHeight="1">
      <c r="B17" s="52" t="inlineStr">
        <is>
          <t>McKinsey — The Art of Software Pricing (2024)</t>
        </is>
      </c>
    </row>
    <row r="18" ht="8" customHeight="1"/>
    <row r="19" ht="26" customHeight="1">
      <c r="B19" s="16" t="inlineStr">
        <is>
          <t>The 6.4% and maturity figures are Revology Analytics research; engagement fees are Revology Analytics / Revify benchmarks, rounded; Revify's are public. Client stories in the webinar are anonymized; the $420M opening story is an illustrative composite consistent with the 1–2% rule.</t>
        </is>
      </c>
    </row>
    <row r="20" ht="8" customHeight="1"/>
    <row r="21" ht="17" customHeight="1">
      <c r="B21" s="6" t="inlineStr">
        <is>
          <t>WHO'S BEHIND IT · two sister firms, one pricing discipline</t>
        </is>
      </c>
      <c r="C21" s="7" t="n"/>
      <c r="D21" s="7" t="n"/>
      <c r="E21" s="7" t="n"/>
      <c r="F21" s="7" t="n"/>
    </row>
    <row r="22" ht="20" customHeight="1">
      <c r="B22" s="219" t="inlineStr">
        <is>
          <t>Revology Analytics — The Advisory Firm</t>
        </is>
      </c>
      <c r="C22" s="18" t="n"/>
      <c r="E22" s="219" t="inlineStr">
        <is>
          <t>Revify — The Standing Pricing Team</t>
        </is>
      </c>
      <c r="F22" s="18" t="n"/>
    </row>
    <row r="23" ht="58" customHeight="1">
      <c r="B23" s="220" t="inlineStr">
        <is>
          <t>A boutique Pricing &amp; Revenue Growth Management consultancy for mid-market and enterprise commercial teams ($50M–$2B) — tailored transformations, advanced analytics &amp; agentic AI builds, and capability in-sourcing. Best when: you already have commercial and pricing teams and want a transformation or a new capability.</t>
        </is>
      </c>
      <c r="E23" s="220" t="inlineStr">
        <is>
          <t>A fixed-fee, phased pricing team-as-a-service for $10M–$1B manufacturers and distributors without a pricing function — senior operators plus a purpose-built pricing analytics platform. Fees are public. Best when: there's no pricing team yet and the first job is a diagnostic and foundations, fast.</t>
        </is>
      </c>
    </row>
    <row r="24" ht="28" customHeight="1">
      <c r="B24" s="221" t="inlineStr">
        <is>
          <t>Run by operators, not career consultants. Armin built revenue-management groups in CPG and retail and co-founded the analytics arm of a leading consumer-durables distributor. Enrico led pricing transformations at MSC Industrial Supply, Berry Plastics and HB Fuller.</t>
        </is>
      </c>
    </row>
    <row r="25" ht="8" customHeight="1"/>
    <row r="26" ht="17" customHeight="1">
      <c r="B26" s="6" t="inlineStr">
        <is>
          <t>NEXT STEP</t>
        </is>
      </c>
      <c r="C26" s="7" t="n"/>
      <c r="D26" s="7" t="n"/>
      <c r="E26" s="7" t="n"/>
      <c r="F26" s="7" t="n"/>
    </row>
    <row r="27" ht="24" customHeight="1">
      <c r="B27" s="222" t="inlineStr">
        <is>
          <t>Want a second set of eyes on your Canvas? armin@revologyanalytics.com · enrico@myrevify.com. No pricing team yet? Revify's Pricing and RGM Diagnostic fees are public at myrevify.com.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1">
    <mergeCell ref="E12:F12"/>
    <mergeCell ref="B16:C16"/>
    <mergeCell ref="B7:C7"/>
    <mergeCell ref="B22:C22"/>
    <mergeCell ref="E23:F23"/>
    <mergeCell ref="E14:F14"/>
    <mergeCell ref="E8:F8"/>
    <mergeCell ref="B27:F27"/>
    <mergeCell ref="B12:C12"/>
    <mergeCell ref="B21:F21"/>
    <mergeCell ref="B2:F2"/>
    <mergeCell ref="E10:F10"/>
    <mergeCell ref="B11:C11"/>
    <mergeCell ref="B23:C23"/>
    <mergeCell ref="B14:C14"/>
    <mergeCell ref="E13:F13"/>
    <mergeCell ref="B1:F1"/>
    <mergeCell ref="B17:C17"/>
    <mergeCell ref="E9:F9"/>
    <mergeCell ref="B8:C8"/>
    <mergeCell ref="B13:C13"/>
    <mergeCell ref="B10:C10"/>
    <mergeCell ref="E11:F11"/>
    <mergeCell ref="B19:F19"/>
    <mergeCell ref="B9:C9"/>
    <mergeCell ref="B6:F6"/>
    <mergeCell ref="B15:C15"/>
    <mergeCell ref="B24:F24"/>
    <mergeCell ref="E7:F7"/>
    <mergeCell ref="E22:F22"/>
    <mergeCell ref="B26:F26"/>
  </mergeCells>
  <hyperlinks>
    <hyperlink ref="B4" location="'Start Here'!A1" display="← Start Here"/>
    <hyperlink ref="C4" location="'Benchmarks'!A1" display="← Previous"/>
  </hyperlinks>
  <printOptions horizontalCentered="1"/>
  <pageMargins left="0.5" right="0.5" top="0.5" bottom="0.5" header="0.2" footer="0.2"/>
  <pageSetup orientation="landscape" paperSize="1" fitToHeight="1" fitToWidth="1"/>
  <headerFooter>
    <oddHeader/>
    <oddFooter>&amp;C&amp;8 &amp;K808080The RGM Initiative Playbook · Revology Analytics &amp;&amp; Revify Analytics&amp;R&amp;8 &amp;K808080&amp;A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Revology Analytics &amp; Revify Analytics</dc:creator>
  <dc:title xmlns:dc="http://purl.org/dc/elements/1.1/">The RGM Initiative Playbook</dc:title>
  <dc:subject xmlns:dc="http://purl.org/dc/elements/1.1/">Business Case Planner, September 2026 webinar edition</dc:subject>
  <dcterms:created xmlns:dcterms="http://purl.org/dc/terms/" xmlns:xsi="http://www.w3.org/2001/XMLSchema-instance" xsi:type="dcterms:W3CDTF">2026-09-19T12:00:00Z</dcterms:created>
  <dcterms:modified xmlns:dcterms="http://purl.org/dc/terms/" xmlns:xsi="http://www.w3.org/2001/XMLSchema-instance" xsi:type="dcterms:W3CDTF">2026-09-18T12:52:48Z</dcterms:modified>
  <cp:lastModifiedBy>Revology Analytics &amp; Revify Analytics</cp:lastModifiedBy>
  <cp:keywords>RGM, pricing, business case, canvas</cp:keywords>
</cp:coreProperties>
</file>