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c--Users-USER-Desktop-html-site-html-site\3bdb75cc-b382-491b-9375-b6153256ac2e\scratchpad\build\"/>
    </mc:Choice>
  </mc:AlternateContent>
  <xr:revisionPtr revIDLastSave="0" documentId="13_ncr:1_{A1386BDF-2467-4720-8891-EF856697A3DA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Cover" sheetId="1" r:id="rId1"/>
    <sheet name="Assumptions" sheetId="2" r:id="rId2"/>
    <sheet name="Rent_Roll" sheetId="3" r:id="rId3"/>
    <sheet name="Operating" sheetId="4" r:id="rId4"/>
    <sheet name="Construction_Budget" sheetId="5" r:id="rId5"/>
    <sheet name="Development_Budget" sheetId="6" r:id="rId6"/>
    <sheet name="Debt_Metrics" sheetId="7" r:id="rId7"/>
    <sheet name="Sources_Uses" sheetId="8" r:id="rId8"/>
    <sheet name="Pro_Forma" sheetId="9" r:id="rId9"/>
    <sheet name="Sensitivity" sheetId="10" r:id="rId10"/>
    <sheet name="1820_Offer" sheetId="11" r:id="rId11"/>
    <sheet name="Checks" sheetId="12" r:id="rId12"/>
  </sheets>
  <definedNames>
    <definedName name="acq_1816">Assumptions!$C$125</definedName>
    <definedName name="acq_1818">Assumptions!$C$11</definedName>
    <definedName name="acq_1820">Assumptions!$C$10</definedName>
    <definedName name="acq_closing_min">Assumptions!$C$13</definedName>
    <definedName name="acq_closing_pct">Assumptions!$C$12</definedName>
    <definedName name="admin_unit">Assumptions!$C$33</definedName>
    <definedName name="appraisal_env_bldg">Assumptions!$C$76</definedName>
    <definedName name="arch_eng_pct">Assumptions!$C$72</definedName>
    <definedName name="assess_1816">Assumptions!$C$47</definedName>
    <definedName name="assess_1818">Assumptions!$C$48</definedName>
    <definedName name="assess_1820">Assumptions!$C$49</definedName>
    <definedName name="base_assess_1816">Assumptions!$C$50</definedName>
    <definedName name="base_assess_1818">Assumptions!$C$51</definedName>
    <definedName name="base_assess_1820">Assumptions!$C$52</definedName>
    <definedName name="bdc_facade">Assumptions!$C$100</definedName>
    <definedName name="bdc_gap">Sources_Uses!$B$16</definedName>
    <definedName name="bond_bill_2025">Assumptions!$C$108</definedName>
    <definedName name="bond_bill_2027">Assumptions!$C$99</definedName>
    <definedName name="brni_1816">Assumptions!$C$107</definedName>
    <definedName name="brni_2028">Assumptions!$C$120</definedName>
    <definedName name="cap_rate">Assumptions!$C$55</definedName>
    <definedName name="carry_to_date_1816">Assumptions!$C$114</definedName>
    <definedName name="chap_1816">Assumptions!$C$118</definedName>
    <definedName name="chap_enabled">Assumptions!$C$127</definedName>
    <definedName name="chap_pct">Assumptions!$C$53</definedName>
    <definedName name="chap_years">Assumptions!$C$54</definedName>
    <definedName name="ci_">Debt_Metrics!$B$17</definedName>
    <definedName name="city_tax_rate">Assumptions!$C$46</definedName>
    <definedName name="closing_1816">Assumptions!$C$113</definedName>
    <definedName name="com_rent_change">Assumptions!$C$8</definedName>
    <definedName name="community_legacy">Assumptions!$C$122</definedName>
    <definedName name="cost_to_date_1816">Assumptions!$C$112</definedName>
    <definedName name="deck_ffe_unit">Assumptions!$C$43</definedName>
    <definedName name="deck_maint_unit">Assumptions!$C$44</definedName>
    <definedName name="deck_psf">Assumptions!$C$41</definedName>
    <definedName name="deck_sf">Assumptions!$C$40</definedName>
    <definedName name="deferred_fee">Sources_Uses!$B$8</definedName>
    <definedName name="dev_fee_deferred_pct">Assumptions!$C$80</definedName>
    <definedName name="dev_fee_pct">Assumptions!$C$79</definedName>
    <definedName name="dev_fee_sweep">Assumptions!$C$126</definedName>
    <definedName name="ds16_">Debt_Metrics!$B$26</definedName>
    <definedName name="dsN_">Debt_Metrics!$B$19</definedName>
    <definedName name="enviro_bldg">Assumptions!$C$67</definedName>
    <definedName name="equity_1816_invested">Assumptions!$C$109</definedName>
    <definedName name="equity_cash">Assumptions!$C$98</definedName>
    <definedName name="escalation_pct">Assumptions!$C$70</definedName>
    <definedName name="exit_cap">Assumptions!$C$56</definedName>
    <definedName name="exp_growth">Assumptions!$C$15</definedName>
    <definedName name="facade_1818">Assumptions!$C$63</definedName>
    <definedName name="facade_1820">Assumptions!$C$64</definedName>
    <definedName name="fed_htc_rate">Assumptions!$C$102</definedName>
    <definedName name="fee_">Debt_Metrics!$B$18</definedName>
    <definedName name="ffe_reserve_unit">Assumptions!$C$26</definedName>
    <definedName name="ffe_unit">Assumptions!$C$37</definedName>
    <definedName name="fire_bldg">Assumptions!$C$31</definedName>
    <definedName name="flooring_premium_psf">Assumptions!$C$38</definedName>
    <definedName name="furnished_premium">Assumptions!$C$36</definedName>
    <definedName name="gc_fee">Assumptions!$C$71</definedName>
    <definedName name="gsf_1818_existing">Assumptions!$C$110</definedName>
    <definedName name="gsf_1820">Assumptions!$C$111</definedName>
    <definedName name="hard_contingency">Assumptions!$C$68</definedName>
    <definedName name="hard_contingency_1816">Assumptions!$C$69</definedName>
    <definedName name="hc_1816_remaining">Assumptions!$C$58</definedName>
    <definedName name="hc_psf_addition_1818">Assumptions!$C$61</definedName>
    <definedName name="hc_psf_rehab_1818">Assumptions!$C$60</definedName>
    <definedName name="hc_psf_rehab_1820">Assumptions!$C$59</definedName>
    <definedName name="hm_1816_payoff">Assumptions!$C$95</definedName>
    <definedName name="hm_charges_1816">Assumptions!$C$115</definedName>
    <definedName name="hm_points">Assumptions!$C$97</definedName>
    <definedName name="hm_rate">Assumptions!$C$96</definedName>
    <definedName name="htc_price">Assumptions!$C$103</definedName>
    <definedName name="include_fed_htc">Assumptions!$C$105</definedName>
    <definedName name="include_mht">Assumptions!$C$106</definedName>
    <definedName name="ins_com">Assumptions!$C$23</definedName>
    <definedName name="ins_unit">Assumptions!$C$22</definedName>
    <definedName name="k16_">Debt_Metrics!$B$24</definedName>
    <definedName name="kN_">Debt_Metrics!$B$10</definedName>
    <definedName name="L16_">Debt_Metrics!$B$25</definedName>
    <definedName name="legal_pct">Assumptions!$C$74</definedName>
    <definedName name="loss_com">Assumptions!$C$19</definedName>
    <definedName name="loss_res">Assumptions!$C$17</definedName>
    <definedName name="marketing_unit">Assumptions!$C$77</definedName>
    <definedName name="mgmt_pct">Assumptions!$C$21</definedName>
    <definedName name="mht_credit_rate">Assumptions!$C$101</definedName>
    <definedName name="min_dscr">Assumptions!$C$92</definedName>
    <definedName name="niif_">Debt_Metrics!$B$16</definedName>
    <definedName name="niif_amort">Assumptions!$C$83</definedName>
    <definedName name="niif_avg_draw">Assumptions!$C$86</definedName>
    <definedName name="niif_fee">Assumptions!$C$87</definedName>
    <definedName name="niif_io_months">Assumptions!$C$85</definedName>
    <definedName name="niif_loan_override">Assumptions!$C$128</definedName>
    <definedName name="niif_max_loan">Assumptions!$C$90</definedName>
    <definedName name="niif_max_ltc">Assumptions!$C$88</definedName>
    <definedName name="niif_max_ltv">Assumptions!$C$89</definedName>
    <definedName name="niif_rate">Assumptions!$C$82</definedName>
    <definedName name="niif_term">Assumptions!$C$84</definedName>
    <definedName name="operating_reserve_months">Assumptions!$C$81</definedName>
    <definedName name="other_income_unit">Assumptions!$C$20</definedName>
    <definedName name="outdoor_kitchen_unit">Assumptions!$C$42</definedName>
    <definedName name="permits_pct">Assumptions!$C$73</definedName>
    <definedName name="qre_share">Assumptions!$C$104</definedName>
    <definedName name="refi_cost_pct">Assumptions!$C$117</definedName>
    <definedName name="refi1816_amort">Assumptions!$C$94</definedName>
    <definedName name="refi1816_rate">Assumptions!$C$93</definedName>
    <definedName name="rent_growth">Assumptions!$C$14</definedName>
    <definedName name="res_rent_change">Assumptions!$C$7</definedName>
    <definedName name="reserve_unit">Assumptions!$C$35</definedName>
    <definedName name="resident_services_unit">Assumptions!$C$27</definedName>
    <definedName name="rm_unit">Assumptions!$C$24</definedName>
    <definedName name="sale_cost">Assumptions!$C$57</definedName>
    <definedName name="sbd_bldg">Assumptions!$C$34</definedName>
    <definedName name="sdf_grant">Assumptions!$C$121</definedName>
    <definedName name="security_bldg">Assumptions!$C$32</definedName>
    <definedName name="sf_addition_1818">Assumptions!$C$62</definedName>
    <definedName name="size_on_chap">Assumptions!$C$119</definedName>
    <definedName name="size_on_market">Assumptions!$C$91</definedName>
    <definedName name="soft_1816">Assumptions!$C$116</definedName>
    <definedName name="soft_contingency">Assumptions!$C$78</definedName>
    <definedName name="soft_insurance_pct">Assumptions!$C$75</definedName>
    <definedName name="sprinkler_bldg">Assumptions!$C$66</definedName>
    <definedName name="stabilized_year">Assumptions!$C$123</definedName>
    <definedName name="storefront_com">Assumptions!$C$65</definedName>
    <definedName name="tax_rate">Assumptions!$C$45</definedName>
    <definedName name="tech_unit">Assumptions!$C$39</definedName>
    <definedName name="trash_bldg">Assumptions!$C$30</definedName>
    <definedName name="turn_unit">Assumptions!$C$25</definedName>
    <definedName name="use_market">Assumptions!$C$6</definedName>
    <definedName name="util_bldg">Assumptions!$C$28</definedName>
    <definedName name="vac_com">Assumptions!$C$18</definedName>
    <definedName name="vac_res">Assumptions!$C$16</definedName>
    <definedName name="water_unit">Assumptions!$C$29</definedName>
  </definedNames>
  <calcPr calcId="191029"/>
</workbook>
</file>

<file path=xl/calcChain.xml><?xml version="1.0" encoding="utf-8"?>
<calcChain xmlns="http://schemas.openxmlformats.org/spreadsheetml/2006/main">
  <c r="B10" i="12" l="1"/>
  <c r="C10" i="12" s="1"/>
  <c r="B9" i="12"/>
  <c r="C9" i="12" s="1"/>
  <c r="B14" i="11"/>
  <c r="B13" i="11"/>
  <c r="B9" i="11"/>
  <c r="B43" i="9"/>
  <c r="M19" i="9"/>
  <c r="M7" i="9"/>
  <c r="L7" i="9"/>
  <c r="K7" i="9"/>
  <c r="J7" i="9"/>
  <c r="I7" i="9"/>
  <c r="H7" i="9"/>
  <c r="G7" i="9"/>
  <c r="F7" i="9"/>
  <c r="E7" i="9"/>
  <c r="D7" i="9"/>
  <c r="C7" i="9"/>
  <c r="M6" i="9"/>
  <c r="L6" i="9"/>
  <c r="K6" i="9"/>
  <c r="J6" i="9"/>
  <c r="I6" i="9"/>
  <c r="H6" i="9"/>
  <c r="G6" i="9"/>
  <c r="F6" i="9"/>
  <c r="E6" i="9"/>
  <c r="D6" i="9"/>
  <c r="C6" i="9"/>
  <c r="M5" i="9"/>
  <c r="L5" i="9"/>
  <c r="K5" i="9"/>
  <c r="J5" i="9"/>
  <c r="I5" i="9"/>
  <c r="H5" i="9"/>
  <c r="G5" i="9"/>
  <c r="F5" i="9"/>
  <c r="E5" i="9"/>
  <c r="D5" i="9"/>
  <c r="C5" i="9"/>
  <c r="B43" i="8"/>
  <c r="B42" i="8"/>
  <c r="B41" i="8"/>
  <c r="B40" i="8"/>
  <c r="B36" i="8"/>
  <c r="B15" i="8"/>
  <c r="B14" i="8"/>
  <c r="B13" i="8"/>
  <c r="B12" i="8"/>
  <c r="B9" i="8"/>
  <c r="B7" i="8"/>
  <c r="B6" i="8"/>
  <c r="B48" i="7"/>
  <c r="B47" i="7"/>
  <c r="B46" i="7"/>
  <c r="B45" i="7"/>
  <c r="B44" i="7"/>
  <c r="B24" i="7"/>
  <c r="B23" i="7"/>
  <c r="B14" i="7"/>
  <c r="B10" i="7"/>
  <c r="G8" i="6"/>
  <c r="C8" i="6"/>
  <c r="F8" i="6" s="1"/>
  <c r="G7" i="6"/>
  <c r="C7" i="6"/>
  <c r="F7" i="6" s="1"/>
  <c r="D6" i="6"/>
  <c r="C6" i="6"/>
  <c r="E5" i="6"/>
  <c r="G5" i="6" s="1"/>
  <c r="D5" i="6"/>
  <c r="C5" i="6"/>
  <c r="C55" i="5"/>
  <c r="F49" i="5"/>
  <c r="C49" i="5"/>
  <c r="E48" i="5"/>
  <c r="D48" i="5"/>
  <c r="F48" i="5" s="1"/>
  <c r="E34" i="5"/>
  <c r="F34" i="5" s="1"/>
  <c r="D34" i="5"/>
  <c r="F33" i="5"/>
  <c r="E33" i="5"/>
  <c r="D33" i="5"/>
  <c r="E32" i="5"/>
  <c r="D32" i="5"/>
  <c r="F32" i="5" s="1"/>
  <c r="E31" i="5"/>
  <c r="D31" i="5"/>
  <c r="F31" i="5" s="1"/>
  <c r="D30" i="5"/>
  <c r="F30" i="5" s="1"/>
  <c r="D22" i="5"/>
  <c r="D19" i="5"/>
  <c r="E18" i="5"/>
  <c r="E11" i="5"/>
  <c r="E10" i="5"/>
  <c r="E22" i="5" s="1"/>
  <c r="D10" i="5"/>
  <c r="C8" i="5"/>
  <c r="F8" i="5" s="1"/>
  <c r="C7" i="5"/>
  <c r="F7" i="5" s="1"/>
  <c r="C6" i="5"/>
  <c r="F6" i="5" s="1"/>
  <c r="C38" i="4"/>
  <c r="D37" i="4"/>
  <c r="F37" i="4" s="1"/>
  <c r="E36" i="4"/>
  <c r="D36" i="4"/>
  <c r="C36" i="4"/>
  <c r="E35" i="4"/>
  <c r="E37" i="4" s="1"/>
  <c r="D35" i="4"/>
  <c r="F35" i="4" s="1"/>
  <c r="C35" i="4"/>
  <c r="C37" i="4" s="1"/>
  <c r="E30" i="4"/>
  <c r="D30" i="4"/>
  <c r="C30" i="4"/>
  <c r="F30" i="4" s="1"/>
  <c r="E28" i="4"/>
  <c r="D28" i="4"/>
  <c r="C28" i="4"/>
  <c r="E27" i="4"/>
  <c r="F27" i="4" s="1"/>
  <c r="D27" i="4"/>
  <c r="C27" i="4"/>
  <c r="E26" i="4"/>
  <c r="D26" i="4"/>
  <c r="C26" i="4"/>
  <c r="C25" i="4"/>
  <c r="E24" i="4"/>
  <c r="F24" i="4" s="1"/>
  <c r="D24" i="4"/>
  <c r="C24" i="4"/>
  <c r="E9" i="4"/>
  <c r="D9" i="4"/>
  <c r="D25" i="5" s="1"/>
  <c r="C9" i="4"/>
  <c r="C25" i="5" s="1"/>
  <c r="E7" i="4"/>
  <c r="D7" i="4"/>
  <c r="C7" i="4"/>
  <c r="C19" i="4" s="1"/>
  <c r="E6" i="4"/>
  <c r="E31" i="4" s="1"/>
  <c r="D6" i="4"/>
  <c r="D21" i="4" s="1"/>
  <c r="C6" i="4"/>
  <c r="C26" i="5" s="1"/>
  <c r="G28" i="3"/>
  <c r="H27" i="3"/>
  <c r="G27" i="3"/>
  <c r="F27" i="3"/>
  <c r="N26" i="3"/>
  <c r="K26" i="3"/>
  <c r="L26" i="3" s="1"/>
  <c r="E12" i="4" s="1"/>
  <c r="E15" i="4" s="1"/>
  <c r="J26" i="3"/>
  <c r="M26" i="3" s="1"/>
  <c r="E45" i="4" s="1"/>
  <c r="I26" i="3"/>
  <c r="N25" i="3"/>
  <c r="M25" i="3"/>
  <c r="D45" i="4" s="1"/>
  <c r="L25" i="3"/>
  <c r="D12" i="4" s="1"/>
  <c r="D15" i="4" s="1"/>
  <c r="K25" i="3"/>
  <c r="J25" i="3"/>
  <c r="I25" i="3"/>
  <c r="N24" i="3"/>
  <c r="K24" i="3"/>
  <c r="L24" i="3" s="1"/>
  <c r="J24" i="3"/>
  <c r="M24" i="3" s="1"/>
  <c r="I24" i="3"/>
  <c r="N23" i="3"/>
  <c r="M23" i="3"/>
  <c r="K23" i="3"/>
  <c r="L23" i="3" s="1"/>
  <c r="J23" i="3"/>
  <c r="I23" i="3"/>
  <c r="N22" i="3"/>
  <c r="K22" i="3"/>
  <c r="L22" i="3" s="1"/>
  <c r="J22" i="3"/>
  <c r="M22" i="3" s="1"/>
  <c r="I22" i="3"/>
  <c r="N21" i="3"/>
  <c r="K21" i="3"/>
  <c r="L21" i="3" s="1"/>
  <c r="J21" i="3"/>
  <c r="M21" i="3" s="1"/>
  <c r="I21" i="3"/>
  <c r="N20" i="3"/>
  <c r="K20" i="3"/>
  <c r="L20" i="3" s="1"/>
  <c r="J20" i="3"/>
  <c r="M20" i="3" s="1"/>
  <c r="I20" i="3"/>
  <c r="N19" i="3"/>
  <c r="M19" i="3"/>
  <c r="K19" i="3"/>
  <c r="L19" i="3" s="1"/>
  <c r="J19" i="3"/>
  <c r="I19" i="3"/>
  <c r="N18" i="3"/>
  <c r="K18" i="3"/>
  <c r="L18" i="3" s="1"/>
  <c r="J18" i="3"/>
  <c r="M18" i="3" s="1"/>
  <c r="I18" i="3"/>
  <c r="N17" i="3"/>
  <c r="M17" i="3"/>
  <c r="K17" i="3"/>
  <c r="L17" i="3" s="1"/>
  <c r="J17" i="3"/>
  <c r="I17" i="3"/>
  <c r="N16" i="3"/>
  <c r="K16" i="3"/>
  <c r="L16" i="3" s="1"/>
  <c r="J16" i="3"/>
  <c r="M16" i="3" s="1"/>
  <c r="I16" i="3"/>
  <c r="N15" i="3"/>
  <c r="M15" i="3"/>
  <c r="K15" i="3"/>
  <c r="L15" i="3" s="1"/>
  <c r="J15" i="3"/>
  <c r="I15" i="3"/>
  <c r="N14" i="3"/>
  <c r="K14" i="3"/>
  <c r="L14" i="3" s="1"/>
  <c r="J14" i="3"/>
  <c r="M14" i="3" s="1"/>
  <c r="I14" i="3"/>
  <c r="N13" i="3"/>
  <c r="M13" i="3"/>
  <c r="L13" i="3"/>
  <c r="K13" i="3"/>
  <c r="J13" i="3"/>
  <c r="I13" i="3"/>
  <c r="N12" i="3"/>
  <c r="K12" i="3"/>
  <c r="L12" i="3" s="1"/>
  <c r="J12" i="3"/>
  <c r="M12" i="3" s="1"/>
  <c r="I12" i="3"/>
  <c r="N11" i="3"/>
  <c r="M11" i="3"/>
  <c r="L11" i="3"/>
  <c r="K11" i="3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K7" i="3"/>
  <c r="L7" i="3" s="1"/>
  <c r="J7" i="3"/>
  <c r="M7" i="3" s="1"/>
  <c r="I7" i="3"/>
  <c r="N6" i="3"/>
  <c r="K6" i="3"/>
  <c r="L6" i="3" s="1"/>
  <c r="J6" i="3"/>
  <c r="I6" i="3"/>
  <c r="N5" i="3"/>
  <c r="L5" i="3"/>
  <c r="K5" i="3"/>
  <c r="J5" i="3"/>
  <c r="M5" i="3" s="1"/>
  <c r="I5" i="3"/>
  <c r="C8" i="4" s="1"/>
  <c r="F36" i="4" l="1"/>
  <c r="F6" i="6"/>
  <c r="F22" i="5"/>
  <c r="E6" i="6"/>
  <c r="F7" i="4"/>
  <c r="C39" i="4"/>
  <c r="E8" i="4"/>
  <c r="E32" i="4" s="1"/>
  <c r="F26" i="4"/>
  <c r="C31" i="4"/>
  <c r="D39" i="4"/>
  <c r="B8" i="7" s="1"/>
  <c r="C12" i="4"/>
  <c r="F12" i="4" s="1"/>
  <c r="E39" i="4"/>
  <c r="C50" i="5"/>
  <c r="B15" i="11"/>
  <c r="J27" i="3"/>
  <c r="D8" i="4"/>
  <c r="C22" i="4"/>
  <c r="D55" i="5"/>
  <c r="F28" i="4"/>
  <c r="F5" i="6"/>
  <c r="B27" i="8"/>
  <c r="E28" i="5"/>
  <c r="E56" i="5"/>
  <c r="C28" i="5"/>
  <c r="C56" i="5"/>
  <c r="C32" i="4"/>
  <c r="C27" i="5"/>
  <c r="F8" i="4"/>
  <c r="D28" i="5"/>
  <c r="D32" i="4"/>
  <c r="D56" i="5"/>
  <c r="D57" i="5" s="1"/>
  <c r="D11" i="6" s="1"/>
  <c r="D27" i="5"/>
  <c r="E11" i="4"/>
  <c r="F6" i="4"/>
  <c r="E50" i="5"/>
  <c r="E55" i="5"/>
  <c r="E21" i="4"/>
  <c r="E19" i="4"/>
  <c r="D21" i="5"/>
  <c r="D17" i="5"/>
  <c r="D13" i="5"/>
  <c r="D20" i="5"/>
  <c r="D16" i="5"/>
  <c r="D12" i="5"/>
  <c r="F10" i="5"/>
  <c r="D23" i="5"/>
  <c r="C52" i="5"/>
  <c r="J18" i="9"/>
  <c r="I18" i="9"/>
  <c r="H18" i="9"/>
  <c r="G18" i="9"/>
  <c r="F18" i="9"/>
  <c r="E18" i="9"/>
  <c r="D18" i="9"/>
  <c r="C18" i="9"/>
  <c r="K18" i="9"/>
  <c r="D11" i="4"/>
  <c r="E25" i="4"/>
  <c r="E21" i="5"/>
  <c r="E17" i="5"/>
  <c r="E13" i="5"/>
  <c r="E20" i="5"/>
  <c r="E16" i="5"/>
  <c r="E12" i="5"/>
  <c r="E19" i="5"/>
  <c r="F19" i="5" s="1"/>
  <c r="E23" i="5"/>
  <c r="E15" i="5"/>
  <c r="E26" i="5"/>
  <c r="C57" i="5"/>
  <c r="D44" i="4"/>
  <c r="E20" i="4"/>
  <c r="E29" i="4"/>
  <c r="D11" i="5"/>
  <c r="C36" i="5"/>
  <c r="E25" i="5"/>
  <c r="F25" i="5" s="1"/>
  <c r="F9" i="4"/>
  <c r="M6" i="3"/>
  <c r="M27" i="3" s="1"/>
  <c r="C11" i="4"/>
  <c r="E13" i="4"/>
  <c r="D14" i="5"/>
  <c r="L18" i="9"/>
  <c r="M18" i="9"/>
  <c r="C45" i="4"/>
  <c r="F45" i="4" s="1"/>
  <c r="E44" i="4"/>
  <c r="I27" i="3"/>
  <c r="E22" i="4"/>
  <c r="E14" i="5"/>
  <c r="D15" i="5"/>
  <c r="F15" i="5" s="1"/>
  <c r="G6" i="6"/>
  <c r="L27" i="3"/>
  <c r="E23" i="4"/>
  <c r="D18" i="5"/>
  <c r="F18" i="5" s="1"/>
  <c r="D26" i="5"/>
  <c r="B46" i="9"/>
  <c r="D19" i="4"/>
  <c r="F19" i="4" s="1"/>
  <c r="D22" i="4"/>
  <c r="F22" i="4" s="1"/>
  <c r="D25" i="4"/>
  <c r="D31" i="4"/>
  <c r="D50" i="5"/>
  <c r="F50" i="5" s="1"/>
  <c r="C13" i="4"/>
  <c r="C20" i="4"/>
  <c r="C23" i="4"/>
  <c r="C29" i="4"/>
  <c r="D13" i="4"/>
  <c r="D20" i="4"/>
  <c r="D23" i="4"/>
  <c r="D29" i="4"/>
  <c r="C21" i="4"/>
  <c r="F21" i="4" s="1"/>
  <c r="E27" i="5" l="1"/>
  <c r="E36" i="5"/>
  <c r="F31" i="4"/>
  <c r="F32" i="4"/>
  <c r="F39" i="4"/>
  <c r="F27" i="5"/>
  <c r="F25" i="4"/>
  <c r="E57" i="5"/>
  <c r="E11" i="6" s="1"/>
  <c r="G11" i="6" s="1"/>
  <c r="F56" i="5"/>
  <c r="F28" i="5"/>
  <c r="C15" i="4"/>
  <c r="F15" i="4" s="1"/>
  <c r="D60" i="5"/>
  <c r="E60" i="5"/>
  <c r="F26" i="5"/>
  <c r="E37" i="5"/>
  <c r="E38" i="5" s="1"/>
  <c r="D14" i="4"/>
  <c r="D16" i="4" s="1"/>
  <c r="C11" i="6"/>
  <c r="C14" i="4"/>
  <c r="F14" i="4" s="1"/>
  <c r="F11" i="4"/>
  <c r="C10" i="6"/>
  <c r="F23" i="5"/>
  <c r="E14" i="4"/>
  <c r="E16" i="4"/>
  <c r="F12" i="5"/>
  <c r="F29" i="4"/>
  <c r="C39" i="5"/>
  <c r="C40" i="5" s="1"/>
  <c r="F23" i="4"/>
  <c r="F11" i="5"/>
  <c r="D36" i="5"/>
  <c r="F36" i="5" s="1"/>
  <c r="F20" i="5"/>
  <c r="C10" i="9"/>
  <c r="C13" i="9" s="1"/>
  <c r="M10" i="9"/>
  <c r="M13" i="9" s="1"/>
  <c r="L10" i="9"/>
  <c r="L13" i="9" s="1"/>
  <c r="K10" i="9"/>
  <c r="K13" i="9" s="1"/>
  <c r="I10" i="9"/>
  <c r="I13" i="9" s="1"/>
  <c r="J10" i="9"/>
  <c r="J13" i="9" s="1"/>
  <c r="H10" i="9"/>
  <c r="H13" i="9" s="1"/>
  <c r="G10" i="9"/>
  <c r="G13" i="9" s="1"/>
  <c r="D10" i="9"/>
  <c r="D13" i="9" s="1"/>
  <c r="F10" i="9"/>
  <c r="F13" i="9" s="1"/>
  <c r="E10" i="9"/>
  <c r="E13" i="9" s="1"/>
  <c r="C44" i="4"/>
  <c r="F44" i="4" s="1"/>
  <c r="F13" i="5"/>
  <c r="F16" i="5"/>
  <c r="F20" i="4"/>
  <c r="F13" i="4"/>
  <c r="F17" i="5"/>
  <c r="F21" i="5"/>
  <c r="F14" i="5"/>
  <c r="F55" i="5"/>
  <c r="G19" i="9" l="1"/>
  <c r="F19" i="9"/>
  <c r="E19" i="9"/>
  <c r="D19" i="9"/>
  <c r="C19" i="9"/>
  <c r="I19" i="9"/>
  <c r="L19" i="9"/>
  <c r="K19" i="9"/>
  <c r="J19" i="9"/>
  <c r="H19" i="9"/>
  <c r="F57" i="5"/>
  <c r="F11" i="6"/>
  <c r="F60" i="5"/>
  <c r="D18" i="4"/>
  <c r="D33" i="4" s="1"/>
  <c r="D40" i="4" s="1"/>
  <c r="D41" i="4" s="1"/>
  <c r="M9" i="9"/>
  <c r="L9" i="9"/>
  <c r="K9" i="9"/>
  <c r="J9" i="9"/>
  <c r="I9" i="9"/>
  <c r="H9" i="9"/>
  <c r="G9" i="9"/>
  <c r="F9" i="9"/>
  <c r="C9" i="9"/>
  <c r="E9" i="9"/>
  <c r="D9" i="9"/>
  <c r="C16" i="4"/>
  <c r="D11" i="9"/>
  <c r="C11" i="9"/>
  <c r="M11" i="9"/>
  <c r="L11" i="9"/>
  <c r="K11" i="9"/>
  <c r="J11" i="9"/>
  <c r="I11" i="9"/>
  <c r="H11" i="9"/>
  <c r="E11" i="9"/>
  <c r="G11" i="9"/>
  <c r="F11" i="9"/>
  <c r="D37" i="5"/>
  <c r="F37" i="5" s="1"/>
  <c r="C9" i="6"/>
  <c r="E18" i="4"/>
  <c r="E33" i="4" s="1"/>
  <c r="E40" i="4" s="1"/>
  <c r="E39" i="5"/>
  <c r="E40" i="5" s="1"/>
  <c r="E44" i="5" l="1"/>
  <c r="E41" i="5"/>
  <c r="E47" i="5"/>
  <c r="E61" i="5"/>
  <c r="E46" i="5"/>
  <c r="E45" i="5"/>
  <c r="E9" i="6"/>
  <c r="D46" i="4"/>
  <c r="D43" i="4"/>
  <c r="G12" i="9"/>
  <c r="G14" i="9" s="1"/>
  <c r="J12" i="9"/>
  <c r="J14" i="9" s="1"/>
  <c r="M12" i="9"/>
  <c r="M14" i="9"/>
  <c r="C12" i="9"/>
  <c r="C14" i="9" s="1"/>
  <c r="B22" i="7"/>
  <c r="E41" i="4"/>
  <c r="F12" i="9"/>
  <c r="F14" i="9" s="1"/>
  <c r="I12" i="9"/>
  <c r="I14" i="9" s="1"/>
  <c r="C18" i="4"/>
  <c r="F16" i="4"/>
  <c r="D12" i="9"/>
  <c r="D14" i="9" s="1"/>
  <c r="H12" i="9"/>
  <c r="H14" i="9" s="1"/>
  <c r="K12" i="9"/>
  <c r="K14" i="9" s="1"/>
  <c r="L12" i="9"/>
  <c r="L14" i="9" s="1"/>
  <c r="D38" i="5"/>
  <c r="E12" i="9"/>
  <c r="E14" i="9"/>
  <c r="D16" i="9" l="1"/>
  <c r="K16" i="9"/>
  <c r="G16" i="9"/>
  <c r="L16" i="9"/>
  <c r="C16" i="9"/>
  <c r="H16" i="9"/>
  <c r="E16" i="9"/>
  <c r="M16" i="9"/>
  <c r="J16" i="9"/>
  <c r="F16" i="9"/>
  <c r="B5" i="11"/>
  <c r="E46" i="4"/>
  <c r="B6" i="11" s="1"/>
  <c r="E43" i="4"/>
  <c r="B7" i="7" s="1"/>
  <c r="B5" i="7"/>
  <c r="F38" i="5"/>
  <c r="D39" i="5"/>
  <c r="F39" i="5" s="1"/>
  <c r="C33" i="4"/>
  <c r="F18" i="4"/>
  <c r="I16" i="9"/>
  <c r="E51" i="5"/>
  <c r="E52" i="5" s="1"/>
  <c r="E10" i="6" s="1"/>
  <c r="D40" i="5" l="1"/>
  <c r="C40" i="4"/>
  <c r="F33" i="4"/>
  <c r="B12" i="7"/>
  <c r="B13" i="7" s="1"/>
  <c r="C32" i="7"/>
  <c r="B6" i="7"/>
  <c r="D44" i="5" l="1"/>
  <c r="D41" i="5"/>
  <c r="D47" i="5"/>
  <c r="F47" i="5" s="1"/>
  <c r="D61" i="5"/>
  <c r="D46" i="5"/>
  <c r="F46" i="5" s="1"/>
  <c r="D9" i="6"/>
  <c r="D45" i="5"/>
  <c r="F45" i="5" s="1"/>
  <c r="F40" i="5"/>
  <c r="I17" i="9"/>
  <c r="I20" i="9" s="1"/>
  <c r="I21" i="9" s="1"/>
  <c r="H17" i="9"/>
  <c r="H20" i="9" s="1"/>
  <c r="H21" i="9" s="1"/>
  <c r="G17" i="9"/>
  <c r="G20" i="9" s="1"/>
  <c r="G21" i="9" s="1"/>
  <c r="F17" i="9"/>
  <c r="F20" i="9" s="1"/>
  <c r="F21" i="9" s="1"/>
  <c r="E17" i="9"/>
  <c r="E20" i="9" s="1"/>
  <c r="E21" i="9" s="1"/>
  <c r="C17" i="9"/>
  <c r="C20" i="9" s="1"/>
  <c r="C21" i="9" s="1"/>
  <c r="D17" i="9"/>
  <c r="D20" i="9" s="1"/>
  <c r="D21" i="9" s="1"/>
  <c r="M17" i="9"/>
  <c r="M20" i="9" s="1"/>
  <c r="M21" i="9" s="1"/>
  <c r="J17" i="9"/>
  <c r="J20" i="9" s="1"/>
  <c r="J21" i="9" s="1"/>
  <c r="L17" i="9"/>
  <c r="L20" i="9" s="1"/>
  <c r="L21" i="9" s="1"/>
  <c r="K17" i="9"/>
  <c r="K20" i="9" s="1"/>
  <c r="K21" i="9" s="1"/>
  <c r="F40" i="4"/>
  <c r="C41" i="4"/>
  <c r="B25" i="7"/>
  <c r="C34" i="7"/>
  <c r="B9" i="7"/>
  <c r="B11" i="7" s="1"/>
  <c r="B15" i="7" s="1"/>
  <c r="B16" i="7" s="1"/>
  <c r="B28" i="10" s="1"/>
  <c r="C37" i="7"/>
  <c r="F47" i="9" l="1"/>
  <c r="D24" i="10"/>
  <c r="G47" i="9"/>
  <c r="I47" i="9"/>
  <c r="E24" i="10"/>
  <c r="C26" i="10"/>
  <c r="D17" i="6"/>
  <c r="G9" i="6"/>
  <c r="F9" i="6"/>
  <c r="B12" i="12" s="1"/>
  <c r="C12" i="12" s="1"/>
  <c r="E17" i="6"/>
  <c r="H24" i="10"/>
  <c r="C27" i="10"/>
  <c r="H25" i="10"/>
  <c r="H28" i="10"/>
  <c r="D23" i="10"/>
  <c r="B32" i="7"/>
  <c r="C46" i="4"/>
  <c r="C43" i="4"/>
  <c r="F41" i="4"/>
  <c r="D27" i="10"/>
  <c r="K47" i="9"/>
  <c r="D25" i="10"/>
  <c r="J47" i="9"/>
  <c r="B30" i="7"/>
  <c r="B39" i="9"/>
  <c r="B26" i="7"/>
  <c r="B39" i="8"/>
  <c r="B44" i="8" s="1"/>
  <c r="C12" i="6"/>
  <c r="H23" i="10"/>
  <c r="G26" i="10"/>
  <c r="B26" i="10"/>
  <c r="E28" i="10"/>
  <c r="G27" i="10"/>
  <c r="F28" i="10"/>
  <c r="F23" i="10"/>
  <c r="F24" i="10"/>
  <c r="B34" i="9"/>
  <c r="B35" i="9" s="1"/>
  <c r="B10" i="8"/>
  <c r="F61" i="5"/>
  <c r="B11" i="8"/>
  <c r="B33" i="8"/>
  <c r="C24" i="10"/>
  <c r="H47" i="9"/>
  <c r="F25" i="10"/>
  <c r="H26" i="10"/>
  <c r="B25" i="10"/>
  <c r="B27" i="10"/>
  <c r="D47" i="9"/>
  <c r="E25" i="10"/>
  <c r="F26" i="10"/>
  <c r="D28" i="10"/>
  <c r="F27" i="10"/>
  <c r="E23" i="10"/>
  <c r="C25" i="10"/>
  <c r="B23" i="10"/>
  <c r="G24" i="10"/>
  <c r="H27" i="10"/>
  <c r="E26" i="10"/>
  <c r="B24" i="10"/>
  <c r="C28" i="10"/>
  <c r="G28" i="10"/>
  <c r="G25" i="10"/>
  <c r="D26" i="10"/>
  <c r="C23" i="10"/>
  <c r="G23" i="10"/>
  <c r="E27" i="10"/>
  <c r="C47" i="9"/>
  <c r="G19" i="10"/>
  <c r="C48" i="7"/>
  <c r="D48" i="7" s="1"/>
  <c r="C17" i="12" s="1"/>
  <c r="C30" i="7"/>
  <c r="B38" i="9"/>
  <c r="B19" i="7"/>
  <c r="B5" i="8"/>
  <c r="B18" i="7"/>
  <c r="B17" i="7"/>
  <c r="E47" i="9"/>
  <c r="F44" i="5"/>
  <c r="D51" i="5"/>
  <c r="F51" i="5" s="1"/>
  <c r="B35" i="8" l="1"/>
  <c r="B34" i="8"/>
  <c r="B25" i="8"/>
  <c r="B36" i="9"/>
  <c r="B37" i="9" s="1"/>
  <c r="D32" i="7"/>
  <c r="B19" i="10"/>
  <c r="C38" i="7"/>
  <c r="C46" i="7" s="1"/>
  <c r="D46" i="7" s="1"/>
  <c r="C15" i="12" s="1"/>
  <c r="C41" i="7"/>
  <c r="C24" i="9"/>
  <c r="M24" i="9"/>
  <c r="L24" i="9"/>
  <c r="K24" i="9"/>
  <c r="J24" i="9"/>
  <c r="I24" i="9"/>
  <c r="H24" i="9"/>
  <c r="G24" i="9"/>
  <c r="E24" i="9"/>
  <c r="D24" i="9"/>
  <c r="B31" i="7"/>
  <c r="F24" i="9"/>
  <c r="C13" i="6"/>
  <c r="C15" i="6" s="1"/>
  <c r="F43" i="4"/>
  <c r="B36" i="7"/>
  <c r="B34" i="7"/>
  <c r="F46" i="4"/>
  <c r="D34" i="7" s="1"/>
  <c r="F17" i="6"/>
  <c r="G17" i="6"/>
  <c r="D30" i="7"/>
  <c r="B41" i="7"/>
  <c r="B37" i="7"/>
  <c r="B38" i="7" s="1"/>
  <c r="B33" i="7"/>
  <c r="E12" i="6"/>
  <c r="D12" i="6"/>
  <c r="G12" i="6" s="1"/>
  <c r="M23" i="9"/>
  <c r="M25" i="9" s="1"/>
  <c r="L23" i="9"/>
  <c r="K23" i="9"/>
  <c r="K25" i="9" s="1"/>
  <c r="J23" i="9"/>
  <c r="J25" i="9" s="1"/>
  <c r="I23" i="9"/>
  <c r="H23" i="9"/>
  <c r="G23" i="9"/>
  <c r="F23" i="9"/>
  <c r="D23" i="9"/>
  <c r="C23" i="9"/>
  <c r="C31" i="7"/>
  <c r="E23" i="9"/>
  <c r="E13" i="6"/>
  <c r="D13" i="6"/>
  <c r="D52" i="5"/>
  <c r="F25" i="9" l="1"/>
  <c r="C25" i="9"/>
  <c r="G13" i="6"/>
  <c r="L25" i="9"/>
  <c r="B35" i="7"/>
  <c r="L47" i="9"/>
  <c r="L26" i="9"/>
  <c r="L27" i="9"/>
  <c r="K27" i="9"/>
  <c r="K26" i="9"/>
  <c r="J26" i="9"/>
  <c r="J27" i="9"/>
  <c r="M26" i="9"/>
  <c r="M27" i="9"/>
  <c r="B45" i="8"/>
  <c r="B46" i="8" s="1"/>
  <c r="B6" i="12" s="1"/>
  <c r="C6" i="12" s="1"/>
  <c r="B39" i="7"/>
  <c r="B40" i="7" s="1"/>
  <c r="D41" i="7"/>
  <c r="D37" i="7"/>
  <c r="D33" i="7"/>
  <c r="E25" i="9"/>
  <c r="D25" i="9"/>
  <c r="F12" i="6"/>
  <c r="D38" i="7"/>
  <c r="C36" i="7"/>
  <c r="C33" i="7"/>
  <c r="D19" i="10" s="1"/>
  <c r="C35" i="7"/>
  <c r="D10" i="6"/>
  <c r="F52" i="5"/>
  <c r="C26" i="9"/>
  <c r="C27" i="9"/>
  <c r="F27" i="9"/>
  <c r="F26" i="9"/>
  <c r="E14" i="6"/>
  <c r="E15" i="6" s="1"/>
  <c r="B7" i="11" s="1"/>
  <c r="B8" i="11" s="1"/>
  <c r="F13" i="6"/>
  <c r="D36" i="7"/>
  <c r="G25" i="9"/>
  <c r="H25" i="9"/>
  <c r="I25" i="9"/>
  <c r="D31" i="7"/>
  <c r="D35" i="7" s="1"/>
  <c r="G26" i="9" l="1"/>
  <c r="G27" i="9"/>
  <c r="C44" i="7"/>
  <c r="D44" i="7" s="1"/>
  <c r="C13" i="12" s="1"/>
  <c r="E19" i="10"/>
  <c r="E26" i="9"/>
  <c r="E27" i="9"/>
  <c r="G10" i="6"/>
  <c r="F10" i="6"/>
  <c r="D14" i="6"/>
  <c r="D15" i="6" s="1"/>
  <c r="C19" i="10"/>
  <c r="C45" i="7"/>
  <c r="D45" i="7" s="1"/>
  <c r="C14" i="12" s="1"/>
  <c r="H27" i="9"/>
  <c r="H26" i="9"/>
  <c r="D26" i="9"/>
  <c r="D27" i="9"/>
  <c r="I27" i="9"/>
  <c r="I26" i="9"/>
  <c r="B55" i="9" l="1"/>
  <c r="G15" i="6"/>
  <c r="F15" i="6"/>
  <c r="B8" i="8"/>
  <c r="G14" i="6"/>
  <c r="F14" i="6"/>
  <c r="B8" i="12" l="1"/>
  <c r="C8" i="12" s="1"/>
  <c r="B47" i="9"/>
  <c r="B51" i="9" s="1"/>
  <c r="B49" i="8"/>
  <c r="D39" i="7"/>
  <c r="D40" i="7" s="1"/>
  <c r="B52" i="9"/>
  <c r="C28" i="9"/>
  <c r="B23" i="8"/>
  <c r="B16" i="8"/>
  <c r="B18" i="8"/>
  <c r="B22" i="8" s="1"/>
  <c r="C39" i="7"/>
  <c r="C40" i="7" s="1"/>
  <c r="C47" i="7" s="1"/>
  <c r="D47" i="7" s="1"/>
  <c r="C16" i="12" s="1"/>
  <c r="B24" i="8" l="1"/>
  <c r="F19" i="10"/>
  <c r="B40" i="9"/>
  <c r="B41" i="9" s="1"/>
  <c r="C29" i="9"/>
  <c r="C31" i="9" s="1"/>
  <c r="B17" i="8"/>
  <c r="C15" i="8" l="1"/>
  <c r="C9" i="8"/>
  <c r="C13" i="8"/>
  <c r="C7" i="8"/>
  <c r="B19" i="8"/>
  <c r="B5" i="12" s="1"/>
  <c r="C5" i="12" s="1"/>
  <c r="C17" i="8"/>
  <c r="B48" i="8"/>
  <c r="B7" i="12" s="1"/>
  <c r="C7" i="12" s="1"/>
  <c r="C14" i="8"/>
  <c r="C6" i="8"/>
  <c r="C12" i="8"/>
  <c r="C11" i="8"/>
  <c r="C10" i="8"/>
  <c r="C5" i="8"/>
  <c r="C8" i="8"/>
  <c r="C46" i="9"/>
  <c r="C16" i="8"/>
  <c r="C30" i="9"/>
  <c r="D28" i="9" s="1"/>
  <c r="B26" i="8"/>
  <c r="B28" i="8" s="1"/>
  <c r="B29" i="8" s="1"/>
  <c r="B30" i="8"/>
  <c r="D29" i="9" l="1"/>
  <c r="D31" i="9" s="1"/>
  <c r="D46" i="9" l="1"/>
  <c r="D30" i="9"/>
  <c r="E28" i="9" s="1"/>
  <c r="E29" i="9" l="1"/>
  <c r="E31" i="9" s="1"/>
  <c r="E46" i="9" l="1"/>
  <c r="E30" i="9"/>
  <c r="F28" i="9" s="1"/>
  <c r="F29" i="9" l="1"/>
  <c r="F31" i="9" s="1"/>
  <c r="F46" i="9" l="1"/>
  <c r="F30" i="9"/>
  <c r="G28" i="9" s="1"/>
  <c r="G29" i="9" l="1"/>
  <c r="G31" i="9" s="1"/>
  <c r="G30" i="9" l="1"/>
  <c r="H28" i="9" s="1"/>
  <c r="H29" i="9" s="1"/>
  <c r="H31" i="9" s="1"/>
  <c r="H46" i="9" s="1"/>
  <c r="G46" i="9"/>
  <c r="H30" i="9" l="1"/>
  <c r="I28" i="9" s="1"/>
  <c r="I29" i="9" l="1"/>
  <c r="I31" i="9" s="1"/>
  <c r="I46" i="9" s="1"/>
  <c r="I30" i="9" l="1"/>
  <c r="J28" i="9" s="1"/>
  <c r="J29" i="9" l="1"/>
  <c r="J31" i="9" s="1"/>
  <c r="J46" i="9" s="1"/>
  <c r="J30" i="9" l="1"/>
  <c r="K28" i="9" s="1"/>
  <c r="K29" i="9" l="1"/>
  <c r="K31" i="9" s="1"/>
  <c r="K46" i="9" s="1"/>
  <c r="K30" i="9" l="1"/>
  <c r="L28" i="9" s="1"/>
  <c r="L29" i="9" l="1"/>
  <c r="L31" i="9" s="1"/>
  <c r="B53" i="9" l="1"/>
  <c r="L30" i="9"/>
  <c r="B42" i="9" l="1"/>
  <c r="L46" i="9" s="1"/>
  <c r="M28" i="9"/>
  <c r="B11" i="12"/>
  <c r="C11" i="12" s="1"/>
  <c r="C3" i="12" s="1"/>
  <c r="B29" i="1" s="1"/>
  <c r="M29" i="9" l="1"/>
  <c r="M31" i="9" s="1"/>
  <c r="B54" i="9"/>
  <c r="B50" i="9"/>
  <c r="H19" i="10" s="1"/>
  <c r="M30" i="9" l="1"/>
</calcChain>
</file>

<file path=xl/sharedStrings.xml><?xml version="1.0" encoding="utf-8"?>
<sst xmlns="http://schemas.openxmlformats.org/spreadsheetml/2006/main" count="929" uniqueCount="801">
  <si>
    <t>Charles Street Mansion Reunification — Financial Model</t>
  </si>
  <si>
    <t>1816 · 1818 · 1820 N. Charles St., Baltimore · BDC resubmission · As of September 17, 2026</t>
  </si>
  <si>
    <t>Prepared by</t>
  </si>
  <si>
    <t>Live Life As You Dream (LLAYD) LLC &amp; Tyjuan Amor LLC</t>
  </si>
  <si>
    <t>Prepared for</t>
  </si>
  <si>
    <t>Baltimore Development Corporation (BDC) and NIIF</t>
  </si>
  <si>
    <t>Purpose</t>
  </si>
  <si>
    <t>Development budget, sources &amp; uses, NIIF loan sizing, 10-year pro forma and stress tests for the three-parcel restoration.</t>
  </si>
  <si>
    <t>Interactive version</t>
  </si>
  <si>
    <t>https://llayd.net/bdc-dashboard (same calculations, with sliders)</t>
  </si>
  <si>
    <t>How to use this workbook</t>
  </si>
  <si>
    <t>Blue text</t>
  </si>
  <si>
    <t>Hard-coded input. Change inputs only on the Assumptions and Rent_Roll tabs.</t>
  </si>
  <si>
    <t>Black text</t>
  </si>
  <si>
    <t>Formula. Do not overwrite.</t>
  </si>
  <si>
    <t>Green text</t>
  </si>
  <si>
    <t>Link to a value on another tab.</t>
  </si>
  <si>
    <t>Yellow fill</t>
  </si>
  <si>
    <t>Key assumption or scenario lever (rents, rates, cap rates, 1820 price).</t>
  </si>
  <si>
    <t>Example</t>
  </si>
  <si>
    <t>To test market rents, set Assumptions ▸ 'Use market (underwriting) rents' to 1. Every tab recalculates.</t>
  </si>
  <si>
    <t>Tabs</t>
  </si>
  <si>
    <t>Assumptions</t>
  </si>
  <si>
    <t>Every input, with its value and basis/source.</t>
  </si>
  <si>
    <t>Rent_Roll</t>
  </si>
  <si>
    <t>18 apartments and 4 commercial units: target and market rents.</t>
  </si>
  <si>
    <t>Operating</t>
  </si>
  <si>
    <t>Stabilized Year 1 income, expenses, CHAP credit and NOI by parcel.</t>
  </si>
  <si>
    <t>Construction_Budget</t>
  </si>
  <si>
    <t>Hard and soft costs by trade and parcel.</t>
  </si>
  <si>
    <t>Development_Budget</t>
  </si>
  <si>
    <t>Total uses of funds by parcel.</t>
  </si>
  <si>
    <t>Sources_Uses</t>
  </si>
  <si>
    <t>Phase 2 and Phase 1 sources, historic tax credits and the funding-gap waterfall.</t>
  </si>
  <si>
    <t>Debt_Metrics</t>
  </si>
  <si>
    <t>NIIF loan sizing, 1816 permanent loan, DSCR / LTV / LTC and covenant tests.</t>
  </si>
  <si>
    <t>Pro_Forma</t>
  </si>
  <si>
    <t>10-year consolidated cash flow, deferred fee payoff, exit and returns.</t>
  </si>
  <si>
    <t>Sensitivity</t>
  </si>
  <si>
    <t>Stress-test results and a live NIIF DSCR grid (rent change × interest rate).</t>
  </si>
  <si>
    <t>1820_Offer</t>
  </si>
  <si>
    <t>Residual land value test for the $3,000 offer, and property-tax impact.</t>
  </si>
  <si>
    <t>Checks</t>
  </si>
  <si>
    <t>Model integrity checks. All should read OK.</t>
  </si>
  <si>
    <t>Model status</t>
  </si>
  <si>
    <t>Inputs in blue. Named cells: each value can be used by its key name (column A) in any formula.</t>
  </si>
  <si>
    <t>Key</t>
  </si>
  <si>
    <t>Assumption</t>
  </si>
  <si>
    <t>Value</t>
  </si>
  <si>
    <t>Basis / source</t>
  </si>
  <si>
    <t>Scenario levers (base case shown)</t>
  </si>
  <si>
    <t>use_market</t>
  </si>
  <si>
    <t>Use market (underwriting) rents instead of target rents? (1 = yes)</t>
  </si>
  <si>
    <t>Scenario lever. 0 = base case (target rents).</t>
  </si>
  <si>
    <t>res_rent_change</t>
  </si>
  <si>
    <t>Residential rent change vs. rent roll</t>
  </si>
  <si>
    <t>Scenario lever. Example: -10% for the 'rents −10%' stress test.</t>
  </si>
  <si>
    <t>com_rent_change</t>
  </si>
  <si>
    <t>Commercial rent change vs. rent roll</t>
  </si>
  <si>
    <t>Scenario lever. Example: -25% for the commercial stress test.</t>
  </si>
  <si>
    <t>Model inputs</t>
  </si>
  <si>
    <t>acq_1820</t>
  </si>
  <si>
    <t>1820 purchase price (offer)</t>
  </si>
  <si>
    <t>Nominal offer for a vacant, City-owned shell that needs a full gut rehab. The as-is value is negative once cost-to-cure is counted (see Assumptions narrative). The public return is delivered through restoration, tax base, jobs, and MBE participation.</t>
  </si>
  <si>
    <t>acq_1818</t>
  </si>
  <si>
    <t>1818 acquisition cost</t>
  </si>
  <si>
    <t>Price at the Mar 6, 2026 substitute trustee's sale (Case C-24-CV-25-008522). Already funded by LLAYD. Counted as land equity.</t>
  </si>
  <si>
    <t>acq_closing_pct</t>
  </si>
  <si>
    <t>Closing, title, transfer &amp; recordation (% of price, min $7.5k)</t>
  </si>
  <si>
    <t>1816 HUD-1 closing costs were $36k on $300k (12%) because back taxes were cleared at settlement. A standard rate is used for new acquisitions, with a floor.</t>
  </si>
  <si>
    <t>acq_closing_min</t>
  </si>
  <si>
    <t>Minimum closing cost per acquisition</t>
  </si>
  <si>
    <t>Title, survey, recordation, legal.</t>
  </si>
  <si>
    <t>rent_growth</t>
  </si>
  <si>
    <t>Annual rent growth</t>
  </si>
  <si>
    <t>2.0%, the MD DHCD underwriting cap. Yardi forecasts 1.9% for Baltimore in 2026, and Harbor Stone reported +1.3% YoY (research/02).</t>
  </si>
  <si>
    <t>exp_growth</t>
  </si>
  <si>
    <t>Annual expense growth</t>
  </si>
  <si>
    <t>Matches BDC Exhibit E (3%).</t>
  </si>
  <si>
    <t>vac_res</t>
  </si>
  <si>
    <t>Residential vacancy</t>
  </si>
  <si>
    <t>Bowery 2023 used 7%. Baltimore City stabilized vacancy is 8.2%, and Station North's 11.6% (HSA Q2-25) includes lease-up buildings. A small boutique building with new finishes is underwritten at 7%.</t>
  </si>
  <si>
    <t>loss_res</t>
  </si>
  <si>
    <t>Residential credit/collection loss</t>
  </si>
  <si>
    <t>1% (Bowery 2023).</t>
  </si>
  <si>
    <t>vac_com</t>
  </si>
  <si>
    <t>Commercial vacancy</t>
  </si>
  <si>
    <t>Baltimore retail vacancy is 6.36% (TenantBase Q2-26); Bowery used 3%. A conservative 8% + 2% = 10% covers small-bay retail on a block that still has vacancy.</t>
  </si>
  <si>
    <t>loss_com</t>
  </si>
  <si>
    <t>Commercial credit/collection loss</t>
  </si>
  <si>
    <t>See above.</t>
  </si>
  <si>
    <t>other_income_unit</t>
  </si>
  <si>
    <t>Other income per unit per month (laundry-in-unit fees, storage, pet, late fees)</t>
  </si>
  <si>
    <t>Conservative for small walk-ups.</t>
  </si>
  <si>
    <t>mgmt_pct</t>
  </si>
  <si>
    <t>Property management (% of EGI)</t>
  </si>
  <si>
    <t>5% (Bowery 2023 range 2–6%). ERJ Development LLC manages the property.</t>
  </si>
  <si>
    <t>ins_unit</t>
  </si>
  <si>
    <t>Insurance per residential unit / yr</t>
  </si>
  <si>
    <t>Historic masonry, sprinklered, mixed-use. The Jan-2026 submission carried $5,600 for 7 units (~$800).</t>
  </si>
  <si>
    <t>ins_com</t>
  </si>
  <si>
    <t>Insurance per commercial unit / yr</t>
  </si>
  <si>
    <t>Landlord's share of the commercial policy.</t>
  </si>
  <si>
    <t>rm_unit</t>
  </si>
  <si>
    <t>Repairs &amp; maintenance per unit / yr (all units)</t>
  </si>
  <si>
    <t>New systems keep early-year maintenance low.</t>
  </si>
  <si>
    <t>turn_unit</t>
  </si>
  <si>
    <t>Turnover / make-ready per residential unit / yr (furnished)</t>
  </si>
  <si>
    <t>Higher for furnished units: professional cleaning, linens, and furniture touch-up between leases.</t>
  </si>
  <si>
    <t>ffe_reserve_unit</t>
  </si>
  <si>
    <t>Furniture (FF&amp;E) replacement reserve per residential unit / yr</t>
  </si>
  <si>
    <t>Replaces the ≈$12.5k furniture package over about 15 years, with hospitality-grade pieces refreshed as they wear.</t>
  </si>
  <si>
    <t>resident_services_unit</t>
  </si>
  <si>
    <t>Resident technology &amp; Wi-Fi services per unit / yr</t>
  </si>
  <si>
    <t>Building-wide high-speed Wi-Fi, smart-lock/thermostat platform, and video-intercom subscriptions included with furnished leases.</t>
  </si>
  <si>
    <t>util_bldg</t>
  </si>
  <si>
    <t>Common utilities per building / yr (house electric, common water/sewer)</t>
  </si>
  <si>
    <t>Units are separately metered for electric; tenants pay their own. The Jan-2026 submission carried $2,400.</t>
  </si>
  <si>
    <t>water_unit</t>
  </si>
  <si>
    <t>Water &amp; sewer per residential unit / yr (owner-paid)</t>
  </si>
  <si>
    <t>Baltimore City DPW combined water/sewer rates.</t>
  </si>
  <si>
    <t>trash_bldg</t>
  </si>
  <si>
    <t>Trash, recycling &amp; pest per building / yr</t>
  </si>
  <si>
    <t>Private hauler for mixed-use.</t>
  </si>
  <si>
    <t>fire_bldg</t>
  </si>
  <si>
    <t>Fire alarm / sprinkler monitoring &amp; inspections per building / yr</t>
  </si>
  <si>
    <t>NFPA 13R systems require annual inspection plus central-station monitoring.</t>
  </si>
  <si>
    <t>security_bldg</t>
  </si>
  <si>
    <t>Security, access control &amp; cameras per building / yr</t>
  </si>
  <si>
    <t>The Jan-2026 submission carried $3,120 for one building.</t>
  </si>
  <si>
    <t>admin_unit</t>
  </si>
  <si>
    <t>G&amp;A: legal, accounting, software, marketing per unit / yr</t>
  </si>
  <si>
    <t>sbd_bldg</t>
  </si>
  <si>
    <t>Special Benefits District surcharge per building / yr</t>
  </si>
  <si>
    <t>1816 paid $313 in 2025.</t>
  </si>
  <si>
    <t>reserve_unit</t>
  </si>
  <si>
    <t>Replacement reserves per unit / yr (all units)</t>
  </si>
  <si>
    <t>CDFI and agency underwriting standard is $250–$350 per unit.</t>
  </si>
  <si>
    <t>furnished_premium</t>
  </si>
  <si>
    <t>Furnished premium applied to market (underwriting) residential rents</t>
  </si>
  <si>
    <t>Industry sources cite 15–30% over unfurnished (FurnishedUnfurnished; Flat Fee Landlord). The unfurnished Station North comps are marked up only 10% to stay conservative. The stress tests include a no-premium case.</t>
  </si>
  <si>
    <t>ffe_unit</t>
  </si>
  <si>
    <t>Furniture package per apartment (fully furnished)</t>
  </si>
  <si>
    <t>Premium, durable pieces for living, bedroom, dining, and kitchen/bath essentials. Mid-range 1BR packages cost $5k–$12k+ (Furnishr 2026); delivery and staging are included.</t>
  </si>
  <si>
    <t>flooring_premium_psf</t>
  </si>
  <si>
    <t>Premium flooring upgrade — Brazilian cherry hardwood or imported porcelain tile ($/SF of unit area, over base allowance)</t>
  </si>
  <si>
    <t>Brazilian cherry (Jatoba) is ≈$5–$13/SF material plus $4–$8/SF install (Brazilian Direct; Homewyse). Imported porcelain is ≈$15–$25/SF installed (HomeGuide; Angi). This is the premium over the base flooring allowance already in the trade budget.</t>
  </si>
  <si>
    <t>tech_unit</t>
  </si>
  <si>
    <t>State-of-the-art smart-home &amp; premium appliance package per apartment</t>
  </si>
  <si>
    <t>Smart locks, thermostats and lighting; video intercom; premium stainless appliance suite with in-unit washer/dryer upgrade.</t>
  </si>
  <si>
    <t>deck_sf</t>
  </si>
  <si>
    <t>Private rear deck size (18' × 8') — SF per deck</t>
  </si>
  <si>
    <t>Nine rear apartments, one deck each. Rear-yard setback and CHAP/zoning review required. Replaces 1816's permitted 80 SF deck scope.</t>
  </si>
  <si>
    <t>deck_psf</t>
  </si>
  <si>
    <t>Elevated stacked deck cost ($/SF, composite on steel posts, 42" rails, privacy screens)</t>
  </si>
  <si>
    <t>Elevated and multi-level decks run $50–$130/SF (HomeAdvisor; Angi 2026). Upper-range value for stacked 2nd–4th floor decks on a masonry building.</t>
  </si>
  <si>
    <t>outdoor_kitchen_unit</t>
  </si>
  <si>
    <t>Outdoor cooking station per deck (ELECTRIC built-in grill, counter, GFCI power, lighting)</t>
  </si>
  <si>
    <t>Baltimore City Fire Code §308 bars open-flame cooking on combustible balconies or within 10 ft of combustible construction; electric grills are permitted. Confirm with the Fire Marshal.</t>
  </si>
  <si>
    <t>deck_ffe_unit</t>
  </si>
  <si>
    <t>Deck furniture package per deck (dining set, lounge seating, planters)</t>
  </si>
  <si>
    <t>Weather-rated outdoor furnishings; part of the furnished apartment package.</t>
  </si>
  <si>
    <t>deck_maint_unit</t>
  </si>
  <si>
    <t>Deck &amp; outdoor kitchen maintenance per deck / yr</t>
  </si>
  <si>
    <t>Cleaning, sealing, appliance service.</t>
  </si>
  <si>
    <t>tax_rate</t>
  </si>
  <si>
    <t>Total property tax rate (City 2.248% + State 0.112%)</t>
  </si>
  <si>
    <t>Baltimore City FY2026 real property tax bill for 1816 N Charles; City rate confirmed for FY2027 (research/02).</t>
  </si>
  <si>
    <t>city_tax_rate</t>
  </si>
  <si>
    <t>City portion of the tax rate (basis for the CHAP credit)</t>
  </si>
  <si>
    <t>CHAP credits the City tax only.</t>
  </si>
  <si>
    <t>assess_1816</t>
  </si>
  <si>
    <t>1816 stabilized assessment</t>
  </si>
  <si>
    <t>Bowery as-complete value was $1.21M (Feb 2024). SDAT assesses at full cash value.</t>
  </si>
  <si>
    <t>assess_1818</t>
  </si>
  <si>
    <t>1818 stabilized assessment</t>
  </si>
  <si>
    <t>Estimated: 6 apartments + 1 commercial unit, similar to 1816.</t>
  </si>
  <si>
    <t>assess_1820</t>
  </si>
  <si>
    <t>1820 stabilized assessment</t>
  </si>
  <si>
    <t>Estimated: 6 apartments + 1 commercial unit.</t>
  </si>
  <si>
    <t>base_assess_1816</t>
  </si>
  <si>
    <t>1816 pre-rehab (base) assessment</t>
  </si>
  <si>
    <t>SDAT 2025–26 assessment: $230,000.</t>
  </si>
  <si>
    <t>base_assess_1818</t>
  </si>
  <si>
    <t>1818 pre-rehab (base) assessment</t>
  </si>
  <si>
    <t>SDAT assessment cited in the 1818 foreclosure exceptions: $412,600.</t>
  </si>
  <si>
    <t>base_assess_1820</t>
  </si>
  <si>
    <t>1820 pre-rehab (base) assessment</t>
  </si>
  <si>
    <t>Estimated. The parcel is City-owned and tax-exempt today; confirm the base value with SDAT/CHAP after conveyance.</t>
  </si>
  <si>
    <t>chap_pct</t>
  </si>
  <si>
    <t>CHAP credit: share of assessment increase credited</t>
  </si>
  <si>
    <t>City Code Art. 28 §10-8: 100% of the city tax on the assessment increase for projects ≤$5M, for 10 years. The State portion is not credited, so this model credits only the City rate. Preliminary CHAP approval is required BEFORE work starts, and applications close 12/31/2027.</t>
  </si>
  <si>
    <t>chap_years</t>
  </si>
  <si>
    <t>CHAP credit term (years)</t>
  </si>
  <si>
    <t>10-year credit, per the BDC RFP Section VII.b.</t>
  </si>
  <si>
    <t>cap_rate</t>
  </si>
  <si>
    <t>Stabilized going-in cap rate</t>
  </si>
  <si>
    <t>The Bowery appraisal concluded 7.50% for 1816. Small Baltimore mixed-use typically trades at 7–8.5% (see research/02).</t>
  </si>
  <si>
    <t>exit_cap</t>
  </si>
  <si>
    <t>Exit (Year 10) cap rate</t>
  </si>
  <si>
    <t>Going-in rate plus 50 bps, a conservative reversion assumption.</t>
  </si>
  <si>
    <t>sale_cost</t>
  </si>
  <si>
    <t>Cost of sale at reversion</t>
  </si>
  <si>
    <t>hc_1816_remaining</t>
  </si>
  <si>
    <t>1816 remaining hard cost to complete (residential + commercial)</t>
  </si>
  <si>
    <t>The PM dashboard shows $277k of the $1.019M budget left to deploy. That figure plus the $45k sprinkler/fire-alarm scope gap is carried here.</t>
  </si>
  <si>
    <t>hc_psf_rehab_1820</t>
  </si>
  <si>
    <t>1820 gut-rehab hard cost ($/GSF, trades only)</t>
  </si>
  <si>
    <t>Trades only. Façade, sprinkler, abatement, storefront, GC fee, escalation and contingency are added separately, for an all-in ≈$300/GSF. Benchmarks: DHCD rehab cost limits $202–$277/SF; research recommends $250/SF before contingency. 1816's actual budget was about $170/SF.</t>
  </si>
  <si>
    <t>hc_psf_rehab_1818</t>
  </si>
  <si>
    <t>1818 rehab of existing 3,800 SF ($/GSF)</t>
  </si>
  <si>
    <t>The existing building is in better shape: a former restaurant fit-out that was occupied until 2025.</t>
  </si>
  <si>
    <t>hc_psf_addition_1818</t>
  </si>
  <si>
    <t>1818 new 3rd–4th floor vertical addition ($/GSF)</t>
  </si>
  <si>
    <t>New construction on an existing masonry bearing structure, with steel/LVL framing and an elevator-free walk-up. Subject to structural engineering and CHAP review.</t>
  </si>
  <si>
    <t>sf_addition_1818</t>
  </si>
  <si>
    <t>1818 new vertical addition area (SF)</t>
  </si>
  <si>
    <t>Two new floors of about 1,300 SF each above the existing 2-story building.</t>
  </si>
  <si>
    <t>facade_1818</t>
  </si>
  <si>
    <t>1818 historic façade restoration</t>
  </si>
  <si>
    <t>Masonry repointing, cornice, and storefront to match the mansion.</t>
  </si>
  <si>
    <t>facade_1820</t>
  </si>
  <si>
    <t>1820 historic façade restoration</t>
  </si>
  <si>
    <t>Paint removal, repointing, wood windows, cornice, and entry.</t>
  </si>
  <si>
    <t>storefront_com</t>
  </si>
  <si>
    <t>Commercial white-box / storefront per unit (1818, 1820)</t>
  </si>
  <si>
    <t>The BRNI advance invoice for 1816's two units was $125k ($62.5k each, including façade). Vanilla-box scope.</t>
  </si>
  <si>
    <t>sprinkler_bldg</t>
  </si>
  <si>
    <t>Fire sprinkler + fire alarm per building (1818, 1820)</t>
  </si>
  <si>
    <t>The Fuentes quote for 1816 was $19,025 for sprinklers only (2nd–4th floors). Fire alarm and backflow are added here.</t>
  </si>
  <si>
    <t>enviro_bldg</t>
  </si>
  <si>
    <t>Environmental abatement allowance (lead/asbestos) per building</t>
  </si>
  <si>
    <t>Pre-1978 buildings; the BDC RFP flags possible environmental hazards.</t>
  </si>
  <si>
    <t>hard_contingency</t>
  </si>
  <si>
    <t>Hard cost contingency — 1818 &amp; 1820</t>
  </si>
  <si>
    <t>12.5% for an unopened historic gut rehab. The industry norm is 10–15% (research/02).</t>
  </si>
  <si>
    <t>hard_contingency_1816</t>
  </si>
  <si>
    <t>Hard cost contingency — 1816 (known remaining scope)</t>
  </si>
  <si>
    <t>10% on remaining scope that is already bid or quoted.</t>
  </si>
  <si>
    <t>escalation_pct</t>
  </si>
  <si>
    <t>Cost escalation to construction midpoint — 1818 &amp; 1820</t>
  </si>
  <si>
    <t>About 4%/yr (RLB Q2-2026) over the ≈1.5 years to the construction midpoint (Q1 2028).</t>
  </si>
  <si>
    <t>gc_fee</t>
  </si>
  <si>
    <t>GC overhead &amp; profit (Tyjuan Amor LLC, related party)</t>
  </si>
  <si>
    <t>Disclosed related-party fee. Below the 10–12% market norm, reflecting partial self-performance.</t>
  </si>
  <si>
    <t>arch_eng_pct</t>
  </si>
  <si>
    <t>Architecture, engineering &amp; structural (% of hard)</t>
  </si>
  <si>
    <t>Includes CHAP submissions and structural design for the 1818 addition. 1816 design cost $19k.</t>
  </si>
  <si>
    <t>permits_pct</t>
  </si>
  <si>
    <t>Permits, CHAP, zoning &amp; utility fees (% of hard)</t>
  </si>
  <si>
    <t>The Jan-2026 Exhibit F carried $4,800 in permit fees for 1820 alone.</t>
  </si>
  <si>
    <t>legal_pct</t>
  </si>
  <si>
    <t>Legal, title, organizational &amp; LDA (% of hard)</t>
  </si>
  <si>
    <t>soft_insurance_pct</t>
  </si>
  <si>
    <t>Builder's risk &amp; GL during construction (% of hard)</t>
  </si>
  <si>
    <t>appraisal_env_bldg</t>
  </si>
  <si>
    <t>Appraisal, Phase I ESA, survey, market study per building</t>
  </si>
  <si>
    <t>Required for NIIF underwriting.</t>
  </si>
  <si>
    <t>marketing_unit</t>
  </si>
  <si>
    <t>Marketing &amp; lease-up per unit</t>
  </si>
  <si>
    <t>soft_contingency</t>
  </si>
  <si>
    <t>Soft cost contingency</t>
  </si>
  <si>
    <t>dev_fee_pct</t>
  </si>
  <si>
    <t>Developer fee (% of total development cost excl. acquisition)</t>
  </si>
  <si>
    <t>Below the typical 10–15% cap for CDFI and state-funded deals. At least 50% is deferred to fill the gap.</t>
  </si>
  <si>
    <t>dev_fee_deferred_pct</t>
  </si>
  <si>
    <t>Share of developer fee deferred</t>
  </si>
  <si>
    <t>The deferred portion is paid from cash flow and shown as a source.</t>
  </si>
  <si>
    <t>operating_reserve_months</t>
  </si>
  <si>
    <t>Operating reserve (months of OpEx + debt service)</t>
  </si>
  <si>
    <t>NIIF and CDFI standard.</t>
  </si>
  <si>
    <t>niif_rate</t>
  </si>
  <si>
    <t>NIIF interest rate (construction &amp; perm)</t>
  </si>
  <si>
    <t>NIIF publishes 5.0% fixed for real estate loans up to $3M (baltimoreniif.org/financing/real-estate-loans). Subject to NIIF underwriting.</t>
  </si>
  <si>
    <t>niif_amort</t>
  </si>
  <si>
    <t>NIIF amortization (years)</t>
  </si>
  <si>
    <t>niif_term</t>
  </si>
  <si>
    <t>NIIF permanent term (years)</t>
  </si>
  <si>
    <t>NIIF term loans run up to 7 years. The pro forma assumes a refinance or extension at maturity on similar terms.</t>
  </si>
  <si>
    <t>niif_io_months</t>
  </si>
  <si>
    <t>Construction interest-only period (months)</t>
  </si>
  <si>
    <t>NIIF allows 18–24 months of IO. 18 months matches the construction schedule.</t>
  </si>
  <si>
    <t>niif_avg_draw</t>
  </si>
  <si>
    <t>Average outstanding balance during construction</t>
  </si>
  <si>
    <t>Standard draw curve.</t>
  </si>
  <si>
    <t>niif_fee</t>
  </si>
  <si>
    <t>NIIF origination fee</t>
  </si>
  <si>
    <t>NIIF charges up to 1.5%.</t>
  </si>
  <si>
    <t>niif_max_ltc</t>
  </si>
  <si>
    <t>NIIF max loan-to-cost</t>
  </si>
  <si>
    <t>Typical CDFI maximum (see research/04).</t>
  </si>
  <si>
    <t>niif_max_ltv</t>
  </si>
  <si>
    <t>NIIF max loan-to-value (as-completed)</t>
  </si>
  <si>
    <t>Construction loans: ≤80% of as-completed value. Term loans: ≤95% of as-stabilized value.</t>
  </si>
  <si>
    <t>niif_max_loan</t>
  </si>
  <si>
    <t>NIIF maximum loan size</t>
  </si>
  <si>
    <t>NIIF real estate loans go up to $3M.</t>
  </si>
  <si>
    <t>size_on_market</t>
  </si>
  <si>
    <t>Size NIIF loan on market (underwriting) rents? (1 = yes)</t>
  </si>
  <si>
    <t>1 = conservative: the loan is sized on comparable-supported rents (research/02), not on target rents.</t>
  </si>
  <si>
    <t>min_dscr</t>
  </si>
  <si>
    <t>Minimum DSCR used to size the NIIF loan</t>
  </si>
  <si>
    <t>1.25x at market rents. CDFI and commercial norm is 1.20–1.25x; MD DHCD floor is 1.15x (research/04). Sizing at 1.25x keeps the NIIF construction LTV near the recommended 75% cushion.</t>
  </si>
  <si>
    <t>refi1816_rate</t>
  </si>
  <si>
    <t>1816 permanent loan rate</t>
  </si>
  <si>
    <t>Bank or CDFI permanent debt is ≈7.0–8.0% (10-yr Treasury 5.02% on 9/16/26 + 200–300 bp). If NIIF participates at 5%, coverage improves (see Sensitivity).</t>
  </si>
  <si>
    <t>refi1816_amort</t>
  </si>
  <si>
    <t>1816 permanent loan amortization (years)</t>
  </si>
  <si>
    <t>hm_1816_payoff</t>
  </si>
  <si>
    <t>1816 hard-money payoff (Nextres/FCI)</t>
  </si>
  <si>
    <t>Principal $527,490 + loan charges $16,502 + late charges $648 + deferred interest $2,198, as of Feb 2026.</t>
  </si>
  <si>
    <t>hm_rate</t>
  </si>
  <si>
    <t>Hard-money bridge rate (last resort)</t>
  </si>
  <si>
    <t>The Q1-2026 Maryland average was 11.19%. Lenders quote 9–13.5% plus 1–4 points. 1816's existing Nextres loan is at 15% (research/02).</t>
  </si>
  <si>
    <t>hm_points</t>
  </si>
  <si>
    <t>Hard-money origination points</t>
  </si>
  <si>
    <t>equity_cash</t>
  </si>
  <si>
    <t>Sponsor cash equity (personal funds) – 1818 &amp; 1820</t>
  </si>
  <si>
    <t>Bradford &amp; Jasmine Phillips / LLAYD LLC. Proof of funds to be provided.</t>
  </si>
  <si>
    <t>bond_bill_2027</t>
  </si>
  <si>
    <t>MD Legislative Bond Initiative – 2027 session request (District 40)</t>
  </si>
  <si>
    <t>District 40 (Sen. Hayes) application is due 11/23/2026, with presentations 11/30/2026. LBIs are non-matching unless the authorization says otherwise. Funds are available after 6/1/2027, which fits the July 2027 construction start. The 2025 session awarded LLAYD $250k.</t>
  </si>
  <si>
    <t>bdc_facade</t>
  </si>
  <si>
    <t>BDC Façade Improvement Grant — Rehabilitation FIG ($25k × 2 buildings)</t>
  </si>
  <si>
    <t>The Rehabilitation FIG is $25,000 with a 1:1 match, paid by reimbursement. A BDC site meeting is required first, and no work may start before approval (research/03).</t>
  </si>
  <si>
    <t>mht_credit_rate</t>
  </si>
  <si>
    <t>MD Historic Revitalization Tax Credit — Competitive Commercial (20% of QRE)</t>
  </si>
  <si>
    <t>20% of QRE, with an OZ bonus possible. The next round runs June–Aug 31, 2027; Part 2 approval is needed before work. Fallback is the Small Commercial credit, capped at $50k per project (research/03).</t>
  </si>
  <si>
    <t>fed_htc_rate</t>
  </si>
  <si>
    <t>Federal Historic Tax Credit rate</t>
  </si>
  <si>
    <t>20% of QRE for income-producing certified historic structures. 1820 is in the North Central National Register Historic District.</t>
  </si>
  <si>
    <t>htc_price</t>
  </si>
  <si>
    <t>Tax credit equity pricing ($ per $1 of credit)</t>
  </si>
  <si>
    <t>Pricing is UNVERIFIED. Small deals typically price at 80–95¢; 85¢ is modeled pending an investor quote.</t>
  </si>
  <si>
    <t>qre_share</t>
  </si>
  <si>
    <t>Qualified rehab expenditures as a share of hard + eligible soft</t>
  </si>
  <si>
    <t>Excludes acquisition, site work, the new addition (not QRE), and FF&amp;E.</t>
  </si>
  <si>
    <t>include_fed_htc</t>
  </si>
  <si>
    <t>Include federal HTC equity in base case (1 = yes, 0 = no)</t>
  </si>
  <si>
    <t>Requires NPS Part 1–3 certification and confirmed contributing status in the North Central NR District. The substantial-rehabilitation test applies.</t>
  </si>
  <si>
    <t>include_mht</t>
  </si>
  <si>
    <t>Include MHT state credit in base case (1 = yes, 0 = no)</t>
  </si>
  <si>
    <t>Competitive award; the Small Commercial credit is an alternative.</t>
  </si>
  <si>
    <t>brni_1816</t>
  </si>
  <si>
    <t>BRNI award – 1816 (DHCD, BRNI-2026-LLAYD-00539-R)</t>
  </si>
  <si>
    <t>Awarded. Term 1/1/2026–6/30/2028.</t>
  </si>
  <si>
    <t>bond_bill_2025</t>
  </si>
  <si>
    <t>MD bond bill – 2025 (LLAYD / 1816)</t>
  </si>
  <si>
    <t>Awarded to LLAYD for the 1816 N. Charles commercial spaces.</t>
  </si>
  <si>
    <t>equity_1816_invested</t>
  </si>
  <si>
    <t>Sponsor equity invested to date – 1816</t>
  </si>
  <si>
    <t>Per the 2025 LBI request and investor overview.</t>
  </si>
  <si>
    <t>gsf_1818_existing</t>
  </si>
  <si>
    <t>1818 existing gross SF</t>
  </si>
  <si>
    <t>Per the 1818 foreclosure filing (about 3,800 SF restaurant/lounge). Verify with a measured survey.</t>
  </si>
  <si>
    <t>gsf_1820</t>
  </si>
  <si>
    <t>1820 gross SF (4 floors + lower level)</t>
  </si>
  <si>
    <t>Estimated from the 1,655 SF lot and a footprint similar to 1816 (5,484 GBA on a 1,437 SF lot). Verify with a measured survey.</t>
  </si>
  <si>
    <t>cost_to_date_1816</t>
  </si>
  <si>
    <t>1816 design &amp; construction completed to date (excl. acquisition)</t>
  </si>
  <si>
    <t>$1,097,000 invested to date minus the $300,000 purchase price (PM dashboard, Feb 2026).</t>
  </si>
  <si>
    <t>closing_1816</t>
  </si>
  <si>
    <t>1816 settlement charges (HUD-1)</t>
  </si>
  <si>
    <t>HUD settlement statement, June 26, 2023.</t>
  </si>
  <si>
    <t>carry_to_date_1816</t>
  </si>
  <si>
    <t>1816 carrying costs to date (interest, fees, taxes, water, registration)</t>
  </si>
  <si>
    <t>Financial summary, Feb 23, 2026.</t>
  </si>
  <si>
    <t>hm_charges_1816</t>
  </si>
  <si>
    <t>1816 hard-money charges at payoff (fees, late charges, deferred interest)</t>
  </si>
  <si>
    <t>FCI servicing statement: $16,502 + $648 + $2,198 + $162 other.</t>
  </si>
  <si>
    <t>soft_1816</t>
  </si>
  <si>
    <t>1816 soft costs to complete (CO, inspections, legal, leasing)</t>
  </si>
  <si>
    <t>refi_cost_pct</t>
  </si>
  <si>
    <t>1816 refinance closing costs (% of loan)</t>
  </si>
  <si>
    <t>chap_1816</t>
  </si>
  <si>
    <t>Apply CHAP credit to 1816? (1 = yes, 0 = no)</t>
  </si>
  <si>
    <t>Excluded (conservative). The CHAP credit must be applied for before work starts, and 1816 work began in Jan 2024. Confirm whether an application was filed.</t>
  </si>
  <si>
    <t>size_on_chap</t>
  </si>
  <si>
    <t>Include CHAP credit in NIIF sizing NOI? (1 = yes)</t>
  </si>
  <si>
    <t>1 = yes: the CHAP credit is a certified 10-year City tax credit, and the loan is still sized on market rents. The Debt_Metrics tab also shows DSCR without CHAP.</t>
  </si>
  <si>
    <t>brni_2028</t>
  </si>
  <si>
    <t>DHCD BRNI — FY2029 round (1818/1820)</t>
  </si>
  <si>
    <t>The FY2028 round closed 8/6/2026; FY2029 is expected ≈June 2027. Awards typically run $25k–$500k. Applicants must be nonprofit CDOs, so confirm LLAYD's eligibility or apply with a CDO partner (research/03).</t>
  </si>
  <si>
    <t>sdf_grant</t>
  </si>
  <si>
    <t>DHCD Strategic Demolition Fund / Project C.O.R.E. — via CDO partner</t>
  </si>
  <si>
    <t>Covers stabilization and redevelopment of vacant buildings. Open only to local governments and nonprofit CDOs, so it would be requested with Central Baltimore Partnership (research/03).</t>
  </si>
  <si>
    <t>community_legacy</t>
  </si>
  <si>
    <t>DHCD Community Legacy — via CDO partner</t>
  </si>
  <si>
    <t>Capital grant in Sustainable Communities through a CDO or local government. The FY28 round closed 8/6/2026; FY29 is expected mid-2027.</t>
  </si>
  <si>
    <t>stabilized_year</t>
  </si>
  <si>
    <t>First stabilized operating year (pro forma Year 1)</t>
  </si>
  <si>
    <t>1816 completes in 2027. 1818/1820 construct Q3 2027–Q4 2028 and lease up by mid-2029.</t>
  </si>
  <si>
    <t>Additional inputs</t>
  </si>
  <si>
    <t>acq_1816</t>
  </si>
  <si>
    <t>1816 purchase price (2022–23, court-ratified)</t>
  </si>
  <si>
    <t>Acquired for $300,000; sale ratified by the court. Already funded.</t>
  </si>
  <si>
    <t>dev_fee_sweep</t>
  </si>
  <si>
    <t>Share of cash flow used to pay the deferred developer fee</t>
  </si>
  <si>
    <t>50% of cash flow after debt service goes to the deferred fee until it is paid off.</t>
  </si>
  <si>
    <t>chap_enabled</t>
  </si>
  <si>
    <t>Include the CHAP credit at all? (1 = yes, 0 = no)</t>
  </si>
  <si>
    <t>Master switch for the CHAP 10-year City tax credit (dashboard toggle).</t>
  </si>
  <si>
    <t>niif_loan_override</t>
  </si>
  <si>
    <t>NIIF loan amount override ($; 0 = size automatically)</t>
  </si>
  <si>
    <t>Leave at 0 to size the loan as the lesser of DSCR, LTV and the program cap. Enter the base loan ($2,724,000) to hold it fixed while testing a scenario, as the Sensitivity tab does.</t>
  </si>
  <si>
    <t>Note: the site lists a '1816 permanent loan (refinance)' of $700,000 as a starting estimate. The model sizes that loan from the 1816 budget instead (Debt_Metrics), which gives $782,036.</t>
  </si>
  <si>
    <t>Rent roll</t>
  </si>
  <si>
    <t>Target rents are the proposal. Market rents come from comparables (Sept 2026); residential market rents get the furnished premium.</t>
  </si>
  <si>
    <t>Parcel</t>
  </si>
  <si>
    <t>Unit</t>
  </si>
  <si>
    <t>Floor</t>
  </si>
  <si>
    <t>Type</t>
  </si>
  <si>
    <t>Category</t>
  </si>
  <si>
    <t>SF</t>
  </si>
  <si>
    <t>Target rent / mo</t>
  </si>
  <si>
    <t>Market rent / mo (unfurnished)</t>
  </si>
  <si>
    <t>Rear deck</t>
  </si>
  <si>
    <t>Underwriting market rent / mo</t>
  </si>
  <si>
    <t>Modeled rent / mo</t>
  </si>
  <si>
    <t>Modeled rent / yr</t>
  </si>
  <si>
    <t>Market rent / yr</t>
  </si>
  <si>
    <t>Target premium</t>
  </si>
  <si>
    <t>1816</t>
  </si>
  <si>
    <t>Apt 1 – 2F Front</t>
  </si>
  <si>
    <t>2</t>
  </si>
  <si>
    <t>1BR/1BA</t>
  </si>
  <si>
    <t>Residential</t>
  </si>
  <si>
    <t>Apt 2 – 2F Rear</t>
  </si>
  <si>
    <t>Apt 3 – 3F Front</t>
  </si>
  <si>
    <t>3</t>
  </si>
  <si>
    <t>Apt 4 – 3F Rear</t>
  </si>
  <si>
    <t>Apt 5 – 4F Rear (addition)</t>
  </si>
  <si>
    <t>4</t>
  </si>
  <si>
    <t>Studio loft</t>
  </si>
  <si>
    <t>Apt 6 – 4F Front</t>
  </si>
  <si>
    <t>1818</t>
  </si>
  <si>
    <t>1BR+Den</t>
  </si>
  <si>
    <t>Apt 3 – 3F Front (new level)</t>
  </si>
  <si>
    <t>2BR/1BA</t>
  </si>
  <si>
    <t>Apt 4 – 3F Rear (new level)</t>
  </si>
  <si>
    <t>Apt 5 – 4F Front (new level)</t>
  </si>
  <si>
    <t>Apt 6 – 4F Rear (new level)</t>
  </si>
  <si>
    <t>1820</t>
  </si>
  <si>
    <t>Apt 1 – 2F Front (parlor floor)</t>
  </si>
  <si>
    <t>Apt 5 – 4F Front</t>
  </si>
  <si>
    <t>Apt 6 – 4F Rear</t>
  </si>
  <si>
    <t>Commercial A – Ground Front (Charles St)</t>
  </si>
  <si>
    <t>1</t>
  </si>
  <si>
    <t>Retail / café</t>
  </si>
  <si>
    <t>Commercial</t>
  </si>
  <si>
    <t>Commercial B – Lower Level</t>
  </si>
  <si>
    <t>LL</t>
  </si>
  <si>
    <t>Studio / office / service</t>
  </si>
  <si>
    <t>Commercial – Ground + Lower (former restaurant)</t>
  </si>
  <si>
    <t>1/LL</t>
  </si>
  <si>
    <t>Food &amp; beverage</t>
  </si>
  <si>
    <t>Commercial – Ground Floor</t>
  </si>
  <si>
    <t>Gallery / retail / café</t>
  </si>
  <si>
    <t>Total / average</t>
  </si>
  <si>
    <t xml:space="preserve">Averages in G, H and J are for apartments only. Commercial average target rent: </t>
  </si>
  <si>
    <t>Rear deck = 1 for rear apartments (private 18′ × 8′ deck with electric outdoor cooking station).</t>
  </si>
  <si>
    <t>Sources: Nelson Kohl, The Fitzgerald, RentCafe Mount Vernon, HSA Q2-25, Bowery 2023 retail comps (see llayd.net/bdc-research-market-rents).</t>
  </si>
  <si>
    <t>Stabilized operations — Year 1 (2029)</t>
  </si>
  <si>
    <t>By parcel. Income from Rent_Roll; expenses from Assumptions.</t>
  </si>
  <si>
    <t>Total</t>
  </si>
  <si>
    <t>Program</t>
  </si>
  <si>
    <t>Apartments</t>
  </si>
  <si>
    <t>Commercial units</t>
  </si>
  <si>
    <t>Rear decks</t>
  </si>
  <si>
    <t>Apartment SF</t>
  </si>
  <si>
    <t>Income</t>
  </si>
  <si>
    <t>Residential gross potential rent</t>
  </si>
  <si>
    <t>Commercial gross potential rent</t>
  </si>
  <si>
    <t>Other income</t>
  </si>
  <si>
    <t>Less: residential vacancy &amp; credit loss</t>
  </si>
  <si>
    <t>Less: commercial vacancy &amp; credit loss</t>
  </si>
  <si>
    <t>Effective gross income</t>
  </si>
  <si>
    <t>Operating expenses</t>
  </si>
  <si>
    <t>Property management</t>
  </si>
  <si>
    <t>Insurance</t>
  </si>
  <si>
    <t>Repairs &amp; maintenance</t>
  </si>
  <si>
    <t>Turnover / make-ready (furnished)</t>
  </si>
  <si>
    <t>Furniture replacement reserve</t>
  </si>
  <si>
    <t>Resident technology &amp; Wi-Fi</t>
  </si>
  <si>
    <t>Common utilities</t>
  </si>
  <si>
    <t>Water &amp; sewer</t>
  </si>
  <si>
    <t>Trash, recycling &amp; pest</t>
  </si>
  <si>
    <t>Fire alarm / sprinkler monitoring</t>
  </si>
  <si>
    <t>Security &amp; access control</t>
  </si>
  <si>
    <t>G&amp;A</t>
  </si>
  <si>
    <t>Special Benefits District</t>
  </si>
  <si>
    <t>Replacement reserves</t>
  </si>
  <si>
    <t>Deck &amp; outdoor kitchen maintenance</t>
  </si>
  <si>
    <t>Operating expenses before property tax</t>
  </si>
  <si>
    <t>Property tax &amp; CHAP credit</t>
  </si>
  <si>
    <t>Stabilized assessment</t>
  </si>
  <si>
    <t>Pre-rehab (base) assessment</t>
  </si>
  <si>
    <t>Property tax before credit</t>
  </si>
  <si>
    <t>CHAP credit applies? (1 = yes)</t>
  </si>
  <si>
    <t>Less: CHAP credit (City tax on assessment increase)</t>
  </si>
  <si>
    <t>Total operating expenses (net of CHAP)</t>
  </si>
  <si>
    <t>Net operating income</t>
  </si>
  <si>
    <t>Underwriting views</t>
  </si>
  <si>
    <t>NOI excluding CHAP credit</t>
  </si>
  <si>
    <t>Residential rent at market (underwriting)</t>
  </si>
  <si>
    <t>Commercial rent at market</t>
  </si>
  <si>
    <t>NOI at market rents</t>
  </si>
  <si>
    <t>Construction budget</t>
  </si>
  <si>
    <t>Hard costs by trade and parcel, then soft costs and furniture. Trade shares (column G) split each parcel's $/GSF rehab budget.</t>
  </si>
  <si>
    <t>Line item</t>
  </si>
  <si>
    <t>Share</t>
  </si>
  <si>
    <t>1816 — remaining scope (share of 1816 remaining hard cost)</t>
  </si>
  <si>
    <t xml:space="preserve">   Commercial fit-out &amp; façade (BRNI advance scope)</t>
  </si>
  <si>
    <t xml:space="preserve">   Residential completion: 4F interior framing, drywall, finishes, MEP trim</t>
  </si>
  <si>
    <t xml:space="preserve">   Fire sprinkler (Fuentes, NFPA 13R) + fire alarm &amp; backflow</t>
  </si>
  <si>
    <t>Gut rehab by trade division (1818 existing building / 1820) — share of rehab base</t>
  </si>
  <si>
    <t>Rehab base (GSF × $/GSF, trades only)</t>
  </si>
  <si>
    <t xml:space="preserve">   General conditions, site protection &amp; dumpsters</t>
  </si>
  <si>
    <t xml:space="preserve">   Selective demolition &amp; debris removal</t>
  </si>
  <si>
    <t xml:space="preserve">   Structural repairs, framing &amp; fire blocking</t>
  </si>
  <si>
    <t xml:space="preserve">   Masonry (interior), stairs &amp; fire-rated assemblies</t>
  </si>
  <si>
    <t xml:space="preserve">   Roofing &amp; sheet metal</t>
  </si>
  <si>
    <t xml:space="preserve">   Windows &amp; exterior doors (CHAP-compliant wood)</t>
  </si>
  <si>
    <t xml:space="preserve">   Plumbing (stacks, risers, fixtures, water heaters)</t>
  </si>
  <si>
    <t xml:space="preserve">   HVAC (ductless / split systems, ventilation)</t>
  </si>
  <si>
    <t xml:space="preserve">   Electrical service, distribution, lighting</t>
  </si>
  <si>
    <t xml:space="preserve">   Insulation &amp; drywall (1-hr rated)</t>
  </si>
  <si>
    <t xml:space="preserve">   Flooring, paint, trim &amp; millwork</t>
  </si>
  <si>
    <t xml:space="preserve">   Kitchens &amp; baths (cabinets, counters, tile, appliances)</t>
  </si>
  <si>
    <t xml:space="preserve">   Interior doors, hardware, specialties &amp; closets</t>
  </si>
  <si>
    <t>Furnished, premium &amp; outdoor-living package</t>
  </si>
  <si>
    <t>Premium flooring — Brazilian cherry or imported porcelain (upgrade)</t>
  </si>
  <si>
    <t>Smart-home &amp; premium appliance package</t>
  </si>
  <si>
    <t>Private rear decks 18′ × 8′</t>
  </si>
  <si>
    <t>Electric outdoor cooking stations</t>
  </si>
  <si>
    <t>Building-level scope (1818 &amp; 1820)</t>
  </si>
  <si>
    <t>1818 vertical addition (3rd &amp; 4th floors)</t>
  </si>
  <si>
    <t>Historic façade restoration</t>
  </si>
  <si>
    <t>Commercial white-box &amp; storefront</t>
  </si>
  <si>
    <t>Fire sprinkler + alarm + backflow</t>
  </si>
  <si>
    <t>Environmental abatement allowance</t>
  </si>
  <si>
    <t>Direct construction subtotal</t>
  </si>
  <si>
    <t>Cost escalation to midpoint</t>
  </si>
  <si>
    <t>GC overhead &amp; profit (Tyjuan Amor LLC, disclosed)</t>
  </si>
  <si>
    <t>Hard cost contingency</t>
  </si>
  <si>
    <t>TOTAL HARD COSTS</t>
  </si>
  <si>
    <t>Hard cost per GSF (1818 total GSF incl. addition)</t>
  </si>
  <si>
    <t>Soft costs</t>
  </si>
  <si>
    <t>Architecture, engineering &amp; structural</t>
  </si>
  <si>
    <t>Permits, CHAP, zoning &amp; utility fees</t>
  </si>
  <si>
    <t>Legal, title, organizational &amp; LDA</t>
  </si>
  <si>
    <t>Builder's risk &amp; GL during construction</t>
  </si>
  <si>
    <t>Appraisal, Phase I ESA, survey, market study</t>
  </si>
  <si>
    <t>Marketing &amp; lease-up</t>
  </si>
  <si>
    <t>TOTAL SOFT COSTS</t>
  </si>
  <si>
    <t>Furniture, fixtures &amp; equipment (outside hard costs)</t>
  </si>
  <si>
    <t>Apartment furniture packages</t>
  </si>
  <si>
    <t>Deck furniture packages</t>
  </si>
  <si>
    <t>TOTAL FF&amp;E</t>
  </si>
  <si>
    <t>Historic tax credit basis (1818 &amp; 1820)</t>
  </si>
  <si>
    <t>Hard cost not eligible (addition, smart-home, decks, cooking), loaded</t>
  </si>
  <si>
    <t>Qualified rehabilitation expenditures (QRE)</t>
  </si>
  <si>
    <t>Development budget — uses of funds</t>
  </si>
  <si>
    <t>Total development cost by parcel. Phase 1 = 1816; Phase 2 = 1818 + 1820.</t>
  </si>
  <si>
    <t>Use</t>
  </si>
  <si>
    <t>Phase 2</t>
  </si>
  <si>
    <t>Acquisition</t>
  </si>
  <si>
    <t>Closing &amp; transfer</t>
  </si>
  <si>
    <t>Work completed to date</t>
  </si>
  <si>
    <t>Carrying costs to date</t>
  </si>
  <si>
    <t>Hard costs (incl. GC fee, escalation, contingency)</t>
  </si>
  <si>
    <t>Furniture, fixtures &amp; equipment</t>
  </si>
  <si>
    <t>Financing costs</t>
  </si>
  <si>
    <t>Operating reserve</t>
  </si>
  <si>
    <t>Developer fee (50% deferred)</t>
  </si>
  <si>
    <t>Total uses</t>
  </si>
  <si>
    <t>Share of Phase 2 hard costs (allocates NIIF financing)</t>
  </si>
  <si>
    <t>NIIF underwriting — loan sizing, DSCR, LTV, LTC</t>
  </si>
  <si>
    <t>The NIIF loan is the lesser of 1.25x DSCR on market rents, 80% as-completed LTV and the $3M program cap.</t>
  </si>
  <si>
    <t>NIIF loan sizing (1818 + 1820)</t>
  </si>
  <si>
    <t>Amount</t>
  </si>
  <si>
    <t>NOI at target rents (with CHAP)</t>
  </si>
  <si>
    <t>NOI at market rents (with CHAP)</t>
  </si>
  <si>
    <t>NOI at target rents, excluding CHAP</t>
  </si>
  <si>
    <t>CHAP credit (1818 + 1820)</t>
  </si>
  <si>
    <t>NOI used for sizing</t>
  </si>
  <si>
    <t>Annual constant (NIIF rate, amortization)</t>
  </si>
  <si>
    <t>Max loan at minimum DSCR</t>
  </si>
  <si>
    <t>Stabilized value (NOI ÷ going-in cap rate)</t>
  </si>
  <si>
    <t>Max loan at max LTV</t>
  </si>
  <si>
    <t>NIIF program cap</t>
  </si>
  <si>
    <t>Sized loan (lesser, rounded down to $1,000)</t>
  </si>
  <si>
    <t>NIIF LOAN</t>
  </si>
  <si>
    <t>Construction interest (avg draw × rate × IO months)</t>
  </si>
  <si>
    <t>NIIF annual debt service</t>
  </si>
  <si>
    <t>1816 permanent loan (refinances Nextres/FCI)</t>
  </si>
  <si>
    <t>1816 uses before financing &amp; reserve (+ hard-money charges)</t>
  </si>
  <si>
    <t>Fixed 1816 sources (equity, carry, BRNI, 2025 bond bill)</t>
  </si>
  <si>
    <t>Annual constant (1816 rate, amortization)</t>
  </si>
  <si>
    <t>1816 PERMANENT LOAN (fills the 1816 budget)</t>
  </si>
  <si>
    <t>1816 annual debt service</t>
  </si>
  <si>
    <t>The loan is solved so that 1816 sources equal 1816 uses, including its own closing cost and reserve.</t>
  </si>
  <si>
    <t>Metric</t>
  </si>
  <si>
    <t>1818 + 1820</t>
  </si>
  <si>
    <t>All parcels</t>
  </si>
  <si>
    <t>Permanent debt</t>
  </si>
  <si>
    <t>Annual debt service</t>
  </si>
  <si>
    <t>NOI — target rents</t>
  </si>
  <si>
    <t>DSCR — target rents</t>
  </si>
  <si>
    <t>NOI — market rents</t>
  </si>
  <si>
    <t>DSCR — market rents</t>
  </si>
  <si>
    <t>DSCR — target rents, excluding CHAP</t>
  </si>
  <si>
    <t>Stabilized value (going-in cap rate)</t>
  </si>
  <si>
    <t>LTV</t>
  </si>
  <si>
    <t>Total development cost</t>
  </si>
  <si>
    <t>LTC</t>
  </si>
  <si>
    <t>Debt yield</t>
  </si>
  <si>
    <t>Covenant test</t>
  </si>
  <si>
    <t>Requirement</t>
  </si>
  <si>
    <t>Result</t>
  </si>
  <si>
    <t>Pass?</t>
  </si>
  <si>
    <t>DSCR at market rents (NIIF)</t>
  </si>
  <si>
    <t>Consolidated DSCR (target rents)</t>
  </si>
  <si>
    <t>LTV (as-completed)</t>
  </si>
  <si>
    <t>Loan size</t>
  </si>
  <si>
    <t>If NIIF also refinances 1816 at 5.0%, consolidated DSCR rises to about 1.53x (see Sensitivity).</t>
  </si>
  <si>
    <t>Sources &amp; uses</t>
  </si>
  <si>
    <t>Phase 2 (1818 + 1820) and Phase 1 (1816). The BDC request is whatever remains after every other source.</t>
  </si>
  <si>
    <t>Phase 2 source</t>
  </si>
  <si>
    <t>% of phase</t>
  </si>
  <si>
    <t>Status</t>
  </si>
  <si>
    <t>Priority</t>
  </si>
  <si>
    <t>NIIF senior construction-to-permanent loan</t>
  </si>
  <si>
    <t>Requested – NIIF underwriting</t>
  </si>
  <si>
    <t>Debt</t>
  </si>
  <si>
    <t>Sponsor cash equity (personal funds)</t>
  </si>
  <si>
    <t>Committed – proof of funds</t>
  </si>
  <si>
    <t>Equity</t>
  </si>
  <si>
    <t>Sponsor land equity – 1818 (acquired Mar 2026)</t>
  </si>
  <si>
    <t>Funded</t>
  </si>
  <si>
    <t>Deferred developer fee</t>
  </si>
  <si>
    <t>Committed by sponsor</t>
  </si>
  <si>
    <t>MD Legislative Bond Initiative – 2027 session</t>
  </si>
  <si>
    <t>To be requested (District 40)</t>
  </si>
  <si>
    <t>Grant</t>
  </si>
  <si>
    <t>Federal Historic Tax Credit equity (20%)</t>
  </si>
  <si>
    <t>Proposed – NPS Part 1–3</t>
  </si>
  <si>
    <t>Tax credit equity</t>
  </si>
  <si>
    <t>MD Historic Revitalization Tax Credit equity</t>
  </si>
  <si>
    <t>Proposed – MHT competitive round</t>
  </si>
  <si>
    <t>BDC Façade Improvement Grant</t>
  </si>
  <si>
    <t>To be requested</t>
  </si>
  <si>
    <t>DHCD BRNI – FY2029 round</t>
  </si>
  <si>
    <t>To be requested (≈June 2027)</t>
  </si>
  <si>
    <t>DHCD Strategic Demolition Fund / Project C.O.R.E. (via CDO partner)</t>
  </si>
  <si>
    <t>To be requested with CBP</t>
  </si>
  <si>
    <t>DHCD Community Legacy (via CDO partner)</t>
  </si>
  <si>
    <t>BDC / City subordinate gap financing (request)</t>
  </si>
  <si>
    <t>Requested from BDC – deferred, repaid from sale/refinance</t>
  </si>
  <si>
    <t>Subordinate debt</t>
  </si>
  <si>
    <t>Total Phase 2 sources</t>
  </si>
  <si>
    <t>Total Phase 2 uses</t>
  </si>
  <si>
    <t>Difference (should be 0)</t>
  </si>
  <si>
    <t>Funding gap waterfall (Phase 2)</t>
  </si>
  <si>
    <t>Less: NIIF loan, sponsor cash, 1818 land, deferred fee (Priority 1)</t>
  </si>
  <si>
    <t>Gap before any public source</t>
  </si>
  <si>
    <t>Less: 2027 bond bill, historic tax credit equity, BDC façade grants (Priority 2)</t>
  </si>
  <si>
    <t>Gap after Priority 2</t>
  </si>
  <si>
    <t>Less: BRNI FY2029, Strategic Demolition Fund, Community Legacy (Priority 3)</t>
  </si>
  <si>
    <t>Remaining gap — BDC / City request (Priority 4)</t>
  </si>
  <si>
    <t>Share of Phase 2 cost requested from BDC</t>
  </si>
  <si>
    <t>Last-resort hard-money bridge cost (gap before public sources, 24 months, rate + points)</t>
  </si>
  <si>
    <t>Historic tax credit calculation</t>
  </si>
  <si>
    <t>Qualified rehabilitation expenditures (1818 + 1820)</t>
  </si>
  <si>
    <t>Federal credit (rate × QRE)</t>
  </si>
  <si>
    <t>Maryland credit (rate × QRE)</t>
  </si>
  <si>
    <t>Equity pricing ($ per $1 of credit, unverified)</t>
  </si>
  <si>
    <t>Phase 1 source — 1816 (funded)</t>
  </si>
  <si>
    <t>1816 permanent loan (refinances Nextres/FCI hard money)</t>
  </si>
  <si>
    <t>To be closed at completion – bank/CDFI (NIIF may participate)</t>
  </si>
  <si>
    <t>Sponsor equity invested to date</t>
  </si>
  <si>
    <t>Sponsor-funded carrying costs to date</t>
  </si>
  <si>
    <t>DHCD BRNI award (BRNI-2026-LLAYD-00539-R)</t>
  </si>
  <si>
    <t>Awarded</t>
  </si>
  <si>
    <t>MD bond bill – 2025 session</t>
  </si>
  <si>
    <t>Total Phase 1 sources</t>
  </si>
  <si>
    <t>Total Phase 1 uses</t>
  </si>
  <si>
    <t>TOTAL SOURCES — ALL PARCELS</t>
  </si>
  <si>
    <t>TOTAL USES — ALL PARCELS</t>
  </si>
  <si>
    <t>NIIF terms modeled: 5.0% fixed, 18-month interest-only construction, then 25-year amortization (7-year term), ≤1.5% fee.</t>
  </si>
  <si>
    <t>10-year pro forma — consolidated</t>
  </si>
  <si>
    <t>All three parcels. Rents grow with rent_growth, expenses with exp_growth; CHAP credit for chap_years; Year 11 NOI sets the exit value.</t>
  </si>
  <si>
    <t>Operating year</t>
  </si>
  <si>
    <t>Calendar year</t>
  </si>
  <si>
    <t>Rent growth factor</t>
  </si>
  <si>
    <t>Expense growth factor</t>
  </si>
  <si>
    <t>Residential rent</t>
  </si>
  <si>
    <t>Commercial rent</t>
  </si>
  <si>
    <t>Less: residential vacancy &amp; loss</t>
  </si>
  <si>
    <t>Less: commercial vacancy &amp; loss</t>
  </si>
  <si>
    <t>Expenses</t>
  </si>
  <si>
    <t>Other operating expenses</t>
  </si>
  <si>
    <t>Property tax</t>
  </si>
  <si>
    <t>Less: CHAP credit</t>
  </si>
  <si>
    <t>Operating expenses (net of CHAP)</t>
  </si>
  <si>
    <t>Debt service &amp; cash flow</t>
  </si>
  <si>
    <t>NIIF debt service</t>
  </si>
  <si>
    <t>1816 debt service</t>
  </si>
  <si>
    <t>Total debt service</t>
  </si>
  <si>
    <t>DSCR</t>
  </si>
  <si>
    <t>Cash flow after debt service</t>
  </si>
  <si>
    <t>Deferred developer fee — opening balance</t>
  </si>
  <si>
    <t>Deferred developer fee paid</t>
  </si>
  <si>
    <t>Deferred developer fee — closing balance</t>
  </si>
  <si>
    <t>Distributable cash flow</t>
  </si>
  <si>
    <t>Exit &amp; returns (sale at end of Year 10)</t>
  </si>
  <si>
    <t>Year 11 NOI</t>
  </si>
  <si>
    <t>Gross sale value (Year 11 NOI ÷ exit cap)</t>
  </si>
  <si>
    <t>Less: cost of sale</t>
  </si>
  <si>
    <t>Net sale proceeds</t>
  </si>
  <si>
    <t>Less: NIIF balance at Year 10</t>
  </si>
  <si>
    <t>Less: 1816 loan balance at Year 10</t>
  </si>
  <si>
    <t>Less: BDC / City gap financing repaid</t>
  </si>
  <si>
    <t>Net reversion to sponsor (after BDC repayment)</t>
  </si>
  <si>
    <t>Plus: deferred fee still unpaid at Year 10</t>
  </si>
  <si>
    <t>Sponsor equity (cash + 1818 land + 1816 equity &amp; carry)</t>
  </si>
  <si>
    <t>Cash flow for returns</t>
  </si>
  <si>
    <t>Levered (sponsor)</t>
  </si>
  <si>
    <t>Unlevered (project)</t>
  </si>
  <si>
    <t>Returns</t>
  </si>
  <si>
    <t>Levered IRR (sponsor, 10-yr)</t>
  </si>
  <si>
    <t>Unlevered IRR (project)</t>
  </si>
  <si>
    <t>Return on cost (Year 1 NOI ÷ total development cost)</t>
  </si>
  <si>
    <t>Average cash-on-cash (distributable cash ÷ equity)</t>
  </si>
  <si>
    <t>Equity multiple</t>
  </si>
  <si>
    <t>Minimum DSCR, Years 1–10</t>
  </si>
  <si>
    <t>Sensitivity &amp; stress tests</t>
  </si>
  <si>
    <t>Scenario table: results of full-model re-runs (values), NIIF loan held at the base amount. The grid below is live.</t>
  </si>
  <si>
    <t>Scenario</t>
  </si>
  <si>
    <t>Yr 1 NOI</t>
  </si>
  <si>
    <t>Consol. DSCR</t>
  </si>
  <si>
    <t>NIIF DSCR</t>
  </si>
  <si>
    <t>NIIF DSCR @ market</t>
  </si>
  <si>
    <t>BDC gap</t>
  </si>
  <si>
    <t>NIIF capacity</t>
  </si>
  <si>
    <t>Levered IRR</t>
  </si>
  <si>
    <t>Base case — target rents</t>
  </si>
  <si>
    <t>Market-rent case (comparable-supported rents)</t>
  </si>
  <si>
    <t>Target residential rents −10%</t>
  </si>
  <si>
    <t>Commercial rents −25% &amp; 20% commercial vacancy</t>
  </si>
  <si>
    <t>Interest rates +200 bps (NIIF 7.0%, 1816 9.25%)</t>
  </si>
  <si>
    <t>Hard costs +15%</t>
  </si>
  <si>
    <t>No historic tax credit equity (federal or state)</t>
  </si>
  <si>
    <t>Expenses +15%</t>
  </si>
  <si>
    <t>Exit cap rate 9.0%</t>
  </si>
  <si>
    <t>Market rents + rates +100 bps + costs +10%</t>
  </si>
  <si>
    <t>n/a</t>
  </si>
  <si>
    <t>No furnished premium in market rents</t>
  </si>
  <si>
    <t>Option — $150/mo furnished amenity fee per apartment</t>
  </si>
  <si>
    <t>Upside — NIIF also refinances 1816 at 5.0%</t>
  </si>
  <si>
    <t>Values above are model outputs from re-running every tab with each scenario's inputs (the same engine as llayd.net/bdc-dashboard). To reproduce one, change the matching inputs on Assumptions and set niif_loan_override to the base loan. NIIF capacity = the loan NIIF could make if it re-sized for that case. n/a = IRR undefined (sponsor does not recover equity).</t>
  </si>
  <si>
    <t>Live check — base case from this workbook:</t>
  </si>
  <si>
    <t>NIIF DSCR — residential rent change × NIIF interest rate (live; loan held at the NIIF loan amount; values below 1.25x in red)</t>
  </si>
  <si>
    <t>Rent change ↓ / NIIF rate →</t>
  </si>
  <si>
    <t>Rent change applies to residential rents on 1818 + 1820 (target-rent basis).</t>
  </si>
  <si>
    <t>1820 N. Charles — $3,000 offer and public benefit</t>
  </si>
  <si>
    <t>Residual land value: what the finished building is worth minus the cost to restore it.</t>
  </si>
  <si>
    <t>Residual land value test — 1820</t>
  </si>
  <si>
    <t>Stabilized value (target rents, going-in cap rate)</t>
  </si>
  <si>
    <t>Stabilized value (market rents)</t>
  </si>
  <si>
    <t>Cost to restore and lease (excluding land)</t>
  </si>
  <si>
    <t>Implied as-is land value (target-rent value − cost)</t>
  </si>
  <si>
    <t>Offer</t>
  </si>
  <si>
    <t>Restoring 1820 costs more than the finished building will be worth, so its as-is residual value is negative. The nominal price reflects that; the City's return comes from the restoration.</t>
  </si>
  <si>
    <t>Property tax base</t>
  </si>
  <si>
    <t>Property tax today (1816 + 1818 base assessments; 1820 is City-owned and exempt)</t>
  </si>
  <si>
    <t>Property tax at stabilization, before CHAP (all three parcels)</t>
  </si>
  <si>
    <t>Increase in annual property tax</t>
  </si>
  <si>
    <t>Other public benefits (from the proposal)</t>
  </si>
  <si>
    <t>18 fully furnished apartments and 4 storefronts; ≈25 new residents.</t>
  </si>
  <si>
    <t>Construction payroll ≈$2.01M (≈36 job-years; ~31 at peak); 17–27 permanent jobs (tenants + building staff).</t>
  </si>
  <si>
    <t>MBE 27% / WBE 10% goals; developer and GC are MBE-certified and Baltimore-based; 55% City-resident workforce expected.</t>
  </si>
  <si>
    <t>LDA performance conditions accepted: construction start deadline, reverter / right of re-entry, CHAP-approved scope, MBE/WBE and Employ Baltimore compliance.</t>
  </si>
  <si>
    <t>Model checks</t>
  </si>
  <si>
    <t>Each check should read OK.</t>
  </si>
  <si>
    <t>Overall</t>
  </si>
  <si>
    <t>Check</t>
  </si>
  <si>
    <t>Difference</t>
  </si>
  <si>
    <t>Phase 2 sources = Phase 2 uses</t>
  </si>
  <si>
    <t>Phase 1 sources = Phase 1 uses</t>
  </si>
  <si>
    <t>All sources = all uses</t>
  </si>
  <si>
    <t>Uses by parcel add up to total</t>
  </si>
  <si>
    <t>1818 trade shares add to 100%</t>
  </si>
  <si>
    <t>1816 remaining-scope shares add to 100%</t>
  </si>
  <si>
    <t>Deferred developer fee fully repaid by Year 10</t>
  </si>
  <si>
    <t>Hard costs on budget = hard costs in uses</t>
  </si>
  <si>
    <t>NIIF covenant: DSCR at market rents (NIIF)</t>
  </si>
  <si>
    <t>NIIF covenant: Consolidated DSCR (target rents)</t>
  </si>
  <si>
    <t>NIIF covenant: LTV (as-completed)</t>
  </si>
  <si>
    <t>NIIF covenant: LTC</t>
  </si>
  <si>
    <t>NIIF covenant: Loan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</si>
</sst>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%;\(0.00%\);&quot;-&quot;"/>
    <numFmt numFmtId="165" formatCode="\$#,##0;\(\$#,##0\);&quot;-&quot;"/>
    <numFmt numFmtId="166" formatCode="#,##0;\(#,##0\);&quot;-&quot;"/>
    <numFmt numFmtId="167" formatCode="0.00&quot;x&quot;"/>
    <numFmt numFmtId="168" formatCode="\$#,##0.00;\(\$#,##0.00\);&quot;-&quot;"/>
    <numFmt numFmtId="169" formatCode="\+0%;\-0%;0%"/>
    <numFmt numFmtId="170" formatCode="0.0%;\(0.0%\);&quot;-&quot;"/>
    <numFmt numFmtId="171" formatCode="0.000"/>
    <numFmt numFmtId="172" formatCode="0&quot; (exit)&quot;"/>
  </numFmts>
  <fonts count="10" x14ac:knownFonts="1">
    <font>
      <sz val="11"/>
      <color theme="1"/>
      <name val="Calibri"/>
      <family val="2"/>
      <scheme val="minor"/>
    </font>
    <font>
      <b/>
      <sz val="16"/>
      <color rgb="FF1F2A44"/>
      <name val="Arial"/>
    </font>
    <font>
      <i/>
      <sz val="10"/>
      <color rgb="FF595959"/>
      <name val="Arial"/>
    </font>
    <font>
      <b/>
      <sz val="10"/>
      <name val="Arial"/>
    </font>
    <font>
      <sz val="10"/>
      <name val="Arial"/>
    </font>
    <font>
      <b/>
      <sz val="11"/>
      <color rgb="FF1F2A44"/>
      <name val="Arial"/>
    </font>
    <font>
      <sz val="10"/>
      <color rgb="FF0000FF"/>
      <name val="Arial"/>
    </font>
    <font>
      <sz val="10"/>
      <color rgb="FF008000"/>
      <name val="Arial"/>
    </font>
    <font>
      <b/>
      <sz val="10"/>
      <color rgb="FFFFFFFF"/>
      <name val="Arial"/>
    </font>
    <font>
      <sz val="9"/>
      <color rgb="FF7F7F7F"/>
      <name val="Arial"/>
    </font>
  </fonts>
  <fills count="6">
    <fill>
      <patternFill patternType="none"/>
    </fill>
    <fill>
      <patternFill patternType="gray125"/>
    </fill>
    <fill>
      <patternFill patternType="solid">
        <fgColor rgb="FFE8ECF3"/>
      </patternFill>
    </fill>
    <fill>
      <patternFill patternType="solid">
        <fgColor rgb="FFFFFF00"/>
      </patternFill>
    </fill>
    <fill>
      <patternFill patternType="solid">
        <fgColor rgb="FF1F2A44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2" borderId="0" xfId="0" applyFont="1" applyFill="1"/>
    <xf numFmtId="0" fontId="0" fillId="2" borderId="0" xfId="0" applyFill="1"/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3" borderId="0" xfId="0" applyFont="1" applyFill="1"/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9" fillId="0" borderId="0" xfId="0" applyFont="1" applyAlignment="1">
      <alignment vertical="top" wrapText="1"/>
    </xf>
    <xf numFmtId="1" fontId="6" fillId="3" borderId="0" xfId="0" applyNumberFormat="1" applyFont="1" applyFill="1" applyAlignment="1">
      <alignment vertical="top" wrapText="1"/>
    </xf>
    <xf numFmtId="164" fontId="6" fillId="3" borderId="0" xfId="0" applyNumberFormat="1" applyFont="1" applyFill="1" applyAlignment="1">
      <alignment vertical="top" wrapText="1"/>
    </xf>
    <xf numFmtId="165" fontId="6" fillId="3" borderId="0" xfId="0" applyNumberFormat="1" applyFont="1" applyFill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vertical="top" wrapText="1"/>
    </xf>
    <xf numFmtId="1" fontId="6" fillId="0" borderId="0" xfId="0" applyNumberFormat="1" applyFont="1" applyAlignment="1">
      <alignment vertical="top" wrapText="1"/>
    </xf>
    <xf numFmtId="167" fontId="6" fillId="3" borderId="0" xfId="0" applyNumberFormat="1" applyFont="1" applyFill="1" applyAlignment="1">
      <alignment vertical="top" wrapText="1"/>
    </xf>
    <xf numFmtId="168" fontId="6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166" fontId="6" fillId="0" borderId="0" xfId="0" applyNumberFormat="1" applyFont="1"/>
    <xf numFmtId="165" fontId="6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169" fontId="4" fillId="0" borderId="0" xfId="0" applyNumberFormat="1" applyFont="1"/>
    <xf numFmtId="0" fontId="3" fillId="5" borderId="0" xfId="0" applyFont="1" applyFill="1"/>
    <xf numFmtId="166" fontId="3" fillId="5" borderId="0" xfId="0" applyNumberFormat="1" applyFont="1" applyFill="1"/>
    <xf numFmtId="165" fontId="3" fillId="5" borderId="0" xfId="0" applyNumberFormat="1" applyFont="1" applyFill="1"/>
    <xf numFmtId="1" fontId="3" fillId="5" borderId="0" xfId="0" applyNumberFormat="1" applyFont="1" applyFill="1"/>
    <xf numFmtId="166" fontId="4" fillId="0" borderId="0" xfId="0" applyNumberFormat="1" applyFont="1"/>
    <xf numFmtId="165" fontId="7" fillId="0" borderId="0" xfId="0" applyNumberFormat="1" applyFont="1"/>
    <xf numFmtId="1" fontId="7" fillId="0" borderId="0" xfId="0" applyNumberFormat="1" applyFont="1"/>
    <xf numFmtId="1" fontId="6" fillId="0" borderId="0" xfId="0" applyNumberFormat="1" applyFont="1"/>
    <xf numFmtId="170" fontId="6" fillId="0" borderId="0" xfId="0" applyNumberFormat="1" applyFont="1"/>
    <xf numFmtId="170" fontId="4" fillId="0" borderId="0" xfId="0" applyNumberFormat="1" applyFont="1"/>
    <xf numFmtId="164" fontId="4" fillId="0" borderId="0" xfId="0" applyNumberFormat="1" applyFont="1"/>
    <xf numFmtId="167" fontId="4" fillId="0" borderId="0" xfId="0" applyNumberFormat="1" applyFont="1"/>
    <xf numFmtId="167" fontId="7" fillId="0" borderId="0" xfId="0" applyNumberFormat="1" applyFont="1"/>
    <xf numFmtId="170" fontId="7" fillId="0" borderId="0" xfId="0" applyNumberFormat="1" applyFont="1"/>
    <xf numFmtId="0" fontId="3" fillId="3" borderId="0" xfId="0" applyFont="1" applyFill="1"/>
    <xf numFmtId="165" fontId="3" fillId="3" borderId="0" xfId="0" applyNumberFormat="1" applyFont="1" applyFill="1"/>
    <xf numFmtId="170" fontId="3" fillId="5" borderId="0" xfId="0" applyNumberFormat="1" applyFont="1" applyFill="1"/>
    <xf numFmtId="168" fontId="7" fillId="0" borderId="0" xfId="0" applyNumberFormat="1" applyFont="1"/>
    <xf numFmtId="0" fontId="8" fillId="4" borderId="0" xfId="0" applyFont="1" applyFill="1"/>
    <xf numFmtId="0" fontId="0" fillId="4" borderId="0" xfId="0" applyFill="1"/>
    <xf numFmtId="1" fontId="8" fillId="4" borderId="0" xfId="0" applyNumberFormat="1" applyFont="1" applyFill="1" applyAlignment="1">
      <alignment horizontal="center" vertical="top" wrapText="1"/>
    </xf>
    <xf numFmtId="172" fontId="8" fillId="4" borderId="0" xfId="0" applyNumberFormat="1" applyFont="1" applyFill="1" applyAlignment="1">
      <alignment horizontal="center" vertical="top" wrapText="1"/>
    </xf>
    <xf numFmtId="0" fontId="4" fillId="4" borderId="0" xfId="0" applyFont="1" applyFill="1"/>
    <xf numFmtId="171" fontId="4" fillId="0" borderId="0" xfId="0" applyNumberFormat="1" applyFont="1"/>
    <xf numFmtId="170" fontId="3" fillId="0" borderId="0" xfId="0" applyNumberFormat="1" applyFont="1"/>
    <xf numFmtId="167" fontId="3" fillId="0" borderId="0" xfId="0" applyNumberFormat="1" applyFont="1"/>
    <xf numFmtId="167" fontId="6" fillId="0" borderId="0" xfId="0" applyNumberFormat="1" applyFont="1"/>
    <xf numFmtId="170" fontId="6" fillId="0" borderId="0" xfId="0" applyNumberFormat="1" applyFont="1" applyAlignment="1">
      <alignment horizontal="center" vertical="top" wrapText="1"/>
    </xf>
    <xf numFmtId="169" fontId="6" fillId="0" borderId="0" xfId="0" applyNumberFormat="1" applyFont="1" applyAlignment="1">
      <alignment horizontal="left" vertical="top" wrapText="1"/>
    </xf>
    <xf numFmtId="2" fontId="4" fillId="0" borderId="0" xfId="0" applyNumberFormat="1" applyFont="1"/>
    <xf numFmtId="165" fontId="3" fillId="0" borderId="0" xfId="0" applyNumberFormat="1" applyFont="1"/>
    <xf numFmtId="168" fontId="4" fillId="0" borderId="0" xfId="0" applyNumberFormat="1" applyFont="1"/>
    <xf numFmtId="0" fontId="2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b/>
        <sz val="10"/>
        <color rgb="FFC00000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/>
  </sheetViews>
  <sheetFormatPr defaultRowHeight="15" x14ac:dyDescent="0.25"/>
  <cols>
    <col min="1" max="1" width="30" customWidth="1"/>
    <col min="2" max="2" width="70" customWidth="1"/>
    <col min="3" max="3" width="14" customWidth="1"/>
  </cols>
  <sheetData>
    <row r="1" spans="1:3" ht="20.25" x14ac:dyDescent="0.3">
      <c r="A1" s="1" t="s">
        <v>0</v>
      </c>
    </row>
    <row r="2" spans="1:3" x14ac:dyDescent="0.25">
      <c r="A2" s="2" t="s">
        <v>1</v>
      </c>
    </row>
    <row r="4" spans="1:3" x14ac:dyDescent="0.25">
      <c r="A4" s="3" t="s">
        <v>2</v>
      </c>
      <c r="B4" s="4" t="s">
        <v>3</v>
      </c>
    </row>
    <row r="5" spans="1:3" x14ac:dyDescent="0.25">
      <c r="A5" s="3" t="s">
        <v>4</v>
      </c>
      <c r="B5" s="4" t="s">
        <v>5</v>
      </c>
    </row>
    <row r="6" spans="1:3" ht="25.5" x14ac:dyDescent="0.25">
      <c r="A6" s="3" t="s">
        <v>6</v>
      </c>
      <c r="B6" s="4" t="s">
        <v>7</v>
      </c>
    </row>
    <row r="7" spans="1:3" x14ac:dyDescent="0.25">
      <c r="A7" s="3" t="s">
        <v>8</v>
      </c>
      <c r="B7" s="4" t="s">
        <v>9</v>
      </c>
    </row>
    <row r="9" spans="1:3" x14ac:dyDescent="0.25">
      <c r="A9" s="5" t="s">
        <v>10</v>
      </c>
      <c r="B9" s="6"/>
      <c r="C9" s="6"/>
    </row>
    <row r="10" spans="1:3" x14ac:dyDescent="0.25">
      <c r="A10" s="7" t="s">
        <v>11</v>
      </c>
      <c r="B10" s="4" t="s">
        <v>12</v>
      </c>
    </row>
    <row r="11" spans="1:3" x14ac:dyDescent="0.25">
      <c r="A11" s="8" t="s">
        <v>13</v>
      </c>
      <c r="B11" s="4" t="s">
        <v>14</v>
      </c>
    </row>
    <row r="12" spans="1:3" x14ac:dyDescent="0.25">
      <c r="A12" s="9" t="s">
        <v>15</v>
      </c>
      <c r="B12" s="4" t="s">
        <v>16</v>
      </c>
    </row>
    <row r="13" spans="1:3" x14ac:dyDescent="0.25">
      <c r="A13" s="10" t="s">
        <v>17</v>
      </c>
      <c r="B13" s="4" t="s">
        <v>18</v>
      </c>
    </row>
    <row r="14" spans="1:3" ht="25.5" x14ac:dyDescent="0.25">
      <c r="A14" s="3" t="s">
        <v>19</v>
      </c>
      <c r="B14" s="4" t="s">
        <v>20</v>
      </c>
    </row>
    <row r="16" spans="1:3" x14ac:dyDescent="0.25">
      <c r="A16" s="5" t="s">
        <v>21</v>
      </c>
      <c r="B16" s="6"/>
      <c r="C16" s="6"/>
    </row>
    <row r="17" spans="1:2" x14ac:dyDescent="0.25">
      <c r="A17" s="3" t="s">
        <v>22</v>
      </c>
      <c r="B17" s="4" t="s">
        <v>23</v>
      </c>
    </row>
    <row r="18" spans="1:2" x14ac:dyDescent="0.25">
      <c r="A18" s="3" t="s">
        <v>24</v>
      </c>
      <c r="B18" s="4" t="s">
        <v>25</v>
      </c>
    </row>
    <row r="19" spans="1:2" x14ac:dyDescent="0.25">
      <c r="A19" s="3" t="s">
        <v>26</v>
      </c>
      <c r="B19" s="4" t="s">
        <v>27</v>
      </c>
    </row>
    <row r="20" spans="1:2" x14ac:dyDescent="0.25">
      <c r="A20" s="3" t="s">
        <v>28</v>
      </c>
      <c r="B20" s="4" t="s">
        <v>29</v>
      </c>
    </row>
    <row r="21" spans="1:2" x14ac:dyDescent="0.25">
      <c r="A21" s="3" t="s">
        <v>30</v>
      </c>
      <c r="B21" s="4" t="s">
        <v>31</v>
      </c>
    </row>
    <row r="22" spans="1:2" x14ac:dyDescent="0.25">
      <c r="A22" s="3" t="s">
        <v>32</v>
      </c>
      <c r="B22" s="4" t="s">
        <v>33</v>
      </c>
    </row>
    <row r="23" spans="1:2" x14ac:dyDescent="0.25">
      <c r="A23" s="3" t="s">
        <v>34</v>
      </c>
      <c r="B23" s="4" t="s">
        <v>35</v>
      </c>
    </row>
    <row r="24" spans="1:2" x14ac:dyDescent="0.25">
      <c r="A24" s="3" t="s">
        <v>36</v>
      </c>
      <c r="B24" s="4" t="s">
        <v>37</v>
      </c>
    </row>
    <row r="25" spans="1:2" x14ac:dyDescent="0.25">
      <c r="A25" s="3" t="s">
        <v>38</v>
      </c>
      <c r="B25" s="4" t="s">
        <v>39</v>
      </c>
    </row>
    <row r="26" spans="1:2" x14ac:dyDescent="0.25">
      <c r="A26" s="3" t="s">
        <v>40</v>
      </c>
      <c r="B26" s="4" t="s">
        <v>41</v>
      </c>
    </row>
    <row r="27" spans="1:2" x14ac:dyDescent="0.25">
      <c r="A27" s="3" t="s">
        <v>42</v>
      </c>
      <c r="B27" s="4" t="s">
        <v>43</v>
      </c>
    </row>
    <row r="29" spans="1:2" x14ac:dyDescent="0.25">
      <c r="A29" s="3" t="s">
        <v>44</v>
      </c>
      <c r="B29" s="3" t="str">
        <f>Checks!C3</f>
        <v>All checks OK</v>
      </c>
    </row>
  </sheetData>
  <hyperlinks>
    <hyperlink ref="A17" location="'Assumptions'!A1" display="Assumptions" xr:uid="{00000000-0004-0000-0000-000000000000}"/>
    <hyperlink ref="A18" location="'Rent_Roll'!A1" display="Rent_Roll" xr:uid="{00000000-0004-0000-0000-000001000000}"/>
    <hyperlink ref="A19" location="'Operating'!A1" display="Operating" xr:uid="{00000000-0004-0000-0000-000002000000}"/>
    <hyperlink ref="A20" location="'Construction_Budget'!A1" display="Construction_Budget" xr:uid="{00000000-0004-0000-0000-000003000000}"/>
    <hyperlink ref="A21" location="'Development_Budget'!A1" display="Development_Budget" xr:uid="{00000000-0004-0000-0000-000004000000}"/>
    <hyperlink ref="A22" location="'Sources_Uses'!A1" display="Sources_Uses" xr:uid="{00000000-0004-0000-0000-000005000000}"/>
    <hyperlink ref="A23" location="'Debt_Metrics'!A1" display="Debt_Metrics" xr:uid="{00000000-0004-0000-0000-000006000000}"/>
    <hyperlink ref="A24" location="'Pro_Forma'!A1" display="Pro_Forma" xr:uid="{00000000-0004-0000-0000-000007000000}"/>
    <hyperlink ref="A25" location="'Sensitivity'!A1" display="Sensitivity" xr:uid="{00000000-0004-0000-0000-000008000000}"/>
    <hyperlink ref="A26" location="'1820_Offer'!A1" display="1820_Offer" xr:uid="{00000000-0004-0000-0000-000009000000}"/>
    <hyperlink ref="A27" location="'Checks'!A1" display="Checks" xr:uid="{00000000-0004-0000-0000-00000A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0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6" customWidth="1"/>
    <col min="2" max="2" width="58" customWidth="1"/>
    <col min="3" max="3" width="14" customWidth="1"/>
    <col min="4" max="4" width="90" customWidth="1"/>
  </cols>
  <sheetData>
    <row r="1" spans="1:4" ht="20.25" x14ac:dyDescent="0.3">
      <c r="A1" s="1" t="s">
        <v>22</v>
      </c>
    </row>
    <row r="2" spans="1:4" x14ac:dyDescent="0.25">
      <c r="A2" s="2" t="s">
        <v>45</v>
      </c>
    </row>
    <row r="4" spans="1:4" ht="27.95" customHeight="1" x14ac:dyDescent="0.25">
      <c r="A4" s="11" t="s">
        <v>46</v>
      </c>
      <c r="B4" s="12" t="s">
        <v>47</v>
      </c>
      <c r="C4" s="12" t="s">
        <v>48</v>
      </c>
      <c r="D4" s="12" t="s">
        <v>49</v>
      </c>
    </row>
    <row r="5" spans="1:4" ht="30" x14ac:dyDescent="0.25">
      <c r="A5" s="13" t="s">
        <v>50</v>
      </c>
      <c r="B5" s="14"/>
      <c r="C5" s="14"/>
      <c r="D5" s="14"/>
    </row>
    <row r="6" spans="1:4" x14ac:dyDescent="0.25">
      <c r="A6" s="15" t="s">
        <v>51</v>
      </c>
      <c r="B6" s="4" t="s">
        <v>52</v>
      </c>
      <c r="C6" s="16">
        <v>0</v>
      </c>
      <c r="D6" s="4" t="s">
        <v>53</v>
      </c>
    </row>
    <row r="7" spans="1:4" x14ac:dyDescent="0.25">
      <c r="A7" s="15" t="s">
        <v>54</v>
      </c>
      <c r="B7" s="4" t="s">
        <v>55</v>
      </c>
      <c r="C7" s="17">
        <v>0</v>
      </c>
      <c r="D7" s="4" t="s">
        <v>56</v>
      </c>
    </row>
    <row r="8" spans="1:4" x14ac:dyDescent="0.25">
      <c r="A8" s="15" t="s">
        <v>57</v>
      </c>
      <c r="B8" s="4" t="s">
        <v>58</v>
      </c>
      <c r="C8" s="17">
        <v>0</v>
      </c>
      <c r="D8" s="4" t="s">
        <v>59</v>
      </c>
    </row>
    <row r="9" spans="1:4" x14ac:dyDescent="0.25">
      <c r="A9" s="13" t="s">
        <v>60</v>
      </c>
      <c r="B9" s="14"/>
      <c r="C9" s="14"/>
      <c r="D9" s="14"/>
    </row>
    <row r="10" spans="1:4" ht="38.25" x14ac:dyDescent="0.25">
      <c r="A10" s="15" t="s">
        <v>61</v>
      </c>
      <c r="B10" s="4" t="s">
        <v>62</v>
      </c>
      <c r="C10" s="18">
        <v>3000</v>
      </c>
      <c r="D10" s="4" t="s">
        <v>63</v>
      </c>
    </row>
    <row r="11" spans="1:4" ht="25.5" x14ac:dyDescent="0.25">
      <c r="A11" s="15" t="s">
        <v>64</v>
      </c>
      <c r="B11" s="4" t="s">
        <v>65</v>
      </c>
      <c r="C11" s="19">
        <v>150000</v>
      </c>
      <c r="D11" s="4" t="s">
        <v>66</v>
      </c>
    </row>
    <row r="12" spans="1:4" ht="25.5" x14ac:dyDescent="0.25">
      <c r="A12" s="15" t="s">
        <v>67</v>
      </c>
      <c r="B12" s="4" t="s">
        <v>68</v>
      </c>
      <c r="C12" s="20">
        <v>0.04</v>
      </c>
      <c r="D12" s="4" t="s">
        <v>69</v>
      </c>
    </row>
    <row r="13" spans="1:4" x14ac:dyDescent="0.25">
      <c r="A13" s="15" t="s">
        <v>70</v>
      </c>
      <c r="B13" s="4" t="s">
        <v>71</v>
      </c>
      <c r="C13" s="19">
        <v>7500</v>
      </c>
      <c r="D13" s="4" t="s">
        <v>72</v>
      </c>
    </row>
    <row r="14" spans="1:4" ht="25.5" x14ac:dyDescent="0.25">
      <c r="A14" s="15" t="s">
        <v>73</v>
      </c>
      <c r="B14" s="4" t="s">
        <v>74</v>
      </c>
      <c r="C14" s="17">
        <v>0.02</v>
      </c>
      <c r="D14" s="4" t="s">
        <v>75</v>
      </c>
    </row>
    <row r="15" spans="1:4" x14ac:dyDescent="0.25">
      <c r="A15" s="15" t="s">
        <v>76</v>
      </c>
      <c r="B15" s="4" t="s">
        <v>77</v>
      </c>
      <c r="C15" s="20">
        <v>0.03</v>
      </c>
      <c r="D15" s="4" t="s">
        <v>78</v>
      </c>
    </row>
    <row r="16" spans="1:4" ht="25.5" x14ac:dyDescent="0.25">
      <c r="A16" s="15" t="s">
        <v>79</v>
      </c>
      <c r="B16" s="4" t="s">
        <v>80</v>
      </c>
      <c r="C16" s="17">
        <v>7.0000000000000007E-2</v>
      </c>
      <c r="D16" s="4" t="s">
        <v>81</v>
      </c>
    </row>
    <row r="17" spans="1:4" x14ac:dyDescent="0.25">
      <c r="A17" s="15" t="s">
        <v>82</v>
      </c>
      <c r="B17" s="4" t="s">
        <v>83</v>
      </c>
      <c r="C17" s="20">
        <v>0.01</v>
      </c>
      <c r="D17" s="4" t="s">
        <v>84</v>
      </c>
    </row>
    <row r="18" spans="1:4" ht="25.5" x14ac:dyDescent="0.25">
      <c r="A18" s="15" t="s">
        <v>85</v>
      </c>
      <c r="B18" s="4" t="s">
        <v>86</v>
      </c>
      <c r="C18" s="17">
        <v>0.08</v>
      </c>
      <c r="D18" s="4" t="s">
        <v>87</v>
      </c>
    </row>
    <row r="19" spans="1:4" x14ac:dyDescent="0.25">
      <c r="A19" s="15" t="s">
        <v>88</v>
      </c>
      <c r="B19" s="4" t="s">
        <v>89</v>
      </c>
      <c r="C19" s="20">
        <v>0.02</v>
      </c>
      <c r="D19" s="4" t="s">
        <v>90</v>
      </c>
    </row>
    <row r="20" spans="1:4" ht="25.5" x14ac:dyDescent="0.25">
      <c r="A20" s="15" t="s">
        <v>91</v>
      </c>
      <c r="B20" s="4" t="s">
        <v>92</v>
      </c>
      <c r="C20" s="19">
        <v>35</v>
      </c>
      <c r="D20" s="4" t="s">
        <v>93</v>
      </c>
    </row>
    <row r="21" spans="1:4" x14ac:dyDescent="0.25">
      <c r="A21" s="15" t="s">
        <v>94</v>
      </c>
      <c r="B21" s="4" t="s">
        <v>95</v>
      </c>
      <c r="C21" s="20">
        <v>0.05</v>
      </c>
      <c r="D21" s="4" t="s">
        <v>96</v>
      </c>
    </row>
    <row r="22" spans="1:4" x14ac:dyDescent="0.25">
      <c r="A22" s="15" t="s">
        <v>97</v>
      </c>
      <c r="B22" s="4" t="s">
        <v>98</v>
      </c>
      <c r="C22" s="19">
        <v>900</v>
      </c>
      <c r="D22" s="4" t="s">
        <v>99</v>
      </c>
    </row>
    <row r="23" spans="1:4" x14ac:dyDescent="0.25">
      <c r="A23" s="15" t="s">
        <v>100</v>
      </c>
      <c r="B23" s="4" t="s">
        <v>101</v>
      </c>
      <c r="C23" s="19">
        <v>1200</v>
      </c>
      <c r="D23" s="4" t="s">
        <v>102</v>
      </c>
    </row>
    <row r="24" spans="1:4" x14ac:dyDescent="0.25">
      <c r="A24" s="15" t="s">
        <v>103</v>
      </c>
      <c r="B24" s="4" t="s">
        <v>104</v>
      </c>
      <c r="C24" s="19">
        <v>650</v>
      </c>
      <c r="D24" s="4" t="s">
        <v>105</v>
      </c>
    </row>
    <row r="25" spans="1:4" x14ac:dyDescent="0.25">
      <c r="A25" s="15" t="s">
        <v>106</v>
      </c>
      <c r="B25" s="4" t="s">
        <v>107</v>
      </c>
      <c r="C25" s="19">
        <v>450</v>
      </c>
      <c r="D25" s="4" t="s">
        <v>108</v>
      </c>
    </row>
    <row r="26" spans="1:4" ht="25.5" x14ac:dyDescent="0.25">
      <c r="A26" s="15" t="s">
        <v>109</v>
      </c>
      <c r="B26" s="4" t="s">
        <v>110</v>
      </c>
      <c r="C26" s="19">
        <v>750</v>
      </c>
      <c r="D26" s="4" t="s">
        <v>111</v>
      </c>
    </row>
    <row r="27" spans="1:4" ht="25.5" x14ac:dyDescent="0.25">
      <c r="A27" s="15" t="s">
        <v>112</v>
      </c>
      <c r="B27" s="4" t="s">
        <v>113</v>
      </c>
      <c r="C27" s="19">
        <v>900</v>
      </c>
      <c r="D27" s="4" t="s">
        <v>114</v>
      </c>
    </row>
    <row r="28" spans="1:4" ht="25.5" x14ac:dyDescent="0.25">
      <c r="A28" s="15" t="s">
        <v>115</v>
      </c>
      <c r="B28" s="4" t="s">
        <v>116</v>
      </c>
      <c r="C28" s="19">
        <v>4200</v>
      </c>
      <c r="D28" s="4" t="s">
        <v>117</v>
      </c>
    </row>
    <row r="29" spans="1:4" x14ac:dyDescent="0.25">
      <c r="A29" s="15" t="s">
        <v>118</v>
      </c>
      <c r="B29" s="4" t="s">
        <v>119</v>
      </c>
      <c r="C29" s="19">
        <v>540</v>
      </c>
      <c r="D29" s="4" t="s">
        <v>120</v>
      </c>
    </row>
    <row r="30" spans="1:4" x14ac:dyDescent="0.25">
      <c r="A30" s="15" t="s">
        <v>121</v>
      </c>
      <c r="B30" s="4" t="s">
        <v>122</v>
      </c>
      <c r="C30" s="19">
        <v>2400</v>
      </c>
      <c r="D30" s="4" t="s">
        <v>123</v>
      </c>
    </row>
    <row r="31" spans="1:4" x14ac:dyDescent="0.25">
      <c r="A31" s="15" t="s">
        <v>124</v>
      </c>
      <c r="B31" s="4" t="s">
        <v>125</v>
      </c>
      <c r="C31" s="19">
        <v>2600</v>
      </c>
      <c r="D31" s="4" t="s">
        <v>126</v>
      </c>
    </row>
    <row r="32" spans="1:4" x14ac:dyDescent="0.25">
      <c r="A32" s="15" t="s">
        <v>127</v>
      </c>
      <c r="B32" s="4" t="s">
        <v>128</v>
      </c>
      <c r="C32" s="19">
        <v>1500</v>
      </c>
      <c r="D32" s="4" t="s">
        <v>129</v>
      </c>
    </row>
    <row r="33" spans="1:4" x14ac:dyDescent="0.25">
      <c r="A33" s="15" t="s">
        <v>130</v>
      </c>
      <c r="B33" s="4" t="s">
        <v>131</v>
      </c>
      <c r="C33" s="19">
        <v>300</v>
      </c>
      <c r="D33" s="4"/>
    </row>
    <row r="34" spans="1:4" x14ac:dyDescent="0.25">
      <c r="A34" s="15" t="s">
        <v>132</v>
      </c>
      <c r="B34" s="4" t="s">
        <v>133</v>
      </c>
      <c r="C34" s="19">
        <v>350</v>
      </c>
      <c r="D34" s="4" t="s">
        <v>134</v>
      </c>
    </row>
    <row r="35" spans="1:4" x14ac:dyDescent="0.25">
      <c r="A35" s="15" t="s">
        <v>135</v>
      </c>
      <c r="B35" s="4" t="s">
        <v>136</v>
      </c>
      <c r="C35" s="19">
        <v>300</v>
      </c>
      <c r="D35" s="4" t="s">
        <v>137</v>
      </c>
    </row>
    <row r="36" spans="1:4" ht="38.25" x14ac:dyDescent="0.25">
      <c r="A36" s="15" t="s">
        <v>138</v>
      </c>
      <c r="B36" s="4" t="s">
        <v>139</v>
      </c>
      <c r="C36" s="17">
        <v>0.1</v>
      </c>
      <c r="D36" s="4" t="s">
        <v>140</v>
      </c>
    </row>
    <row r="37" spans="1:4" ht="25.5" x14ac:dyDescent="0.25">
      <c r="A37" s="15" t="s">
        <v>141</v>
      </c>
      <c r="B37" s="4" t="s">
        <v>142</v>
      </c>
      <c r="C37" s="19">
        <v>12500</v>
      </c>
      <c r="D37" s="4" t="s">
        <v>143</v>
      </c>
    </row>
    <row r="38" spans="1:4" ht="38.25" x14ac:dyDescent="0.25">
      <c r="A38" s="15" t="s">
        <v>144</v>
      </c>
      <c r="B38" s="4" t="s">
        <v>145</v>
      </c>
      <c r="C38" s="19">
        <v>11</v>
      </c>
      <c r="D38" s="4" t="s">
        <v>146</v>
      </c>
    </row>
    <row r="39" spans="1:4" ht="25.5" x14ac:dyDescent="0.25">
      <c r="A39" s="15" t="s">
        <v>147</v>
      </c>
      <c r="B39" s="4" t="s">
        <v>148</v>
      </c>
      <c r="C39" s="19">
        <v>4500</v>
      </c>
      <c r="D39" s="4" t="s">
        <v>149</v>
      </c>
    </row>
    <row r="40" spans="1:4" ht="25.5" x14ac:dyDescent="0.25">
      <c r="A40" s="15" t="s">
        <v>150</v>
      </c>
      <c r="B40" s="4" t="s">
        <v>151</v>
      </c>
      <c r="C40" s="21">
        <v>144</v>
      </c>
      <c r="D40" s="4" t="s">
        <v>152</v>
      </c>
    </row>
    <row r="41" spans="1:4" ht="25.5" x14ac:dyDescent="0.25">
      <c r="A41" s="15" t="s">
        <v>153</v>
      </c>
      <c r="B41" s="4" t="s">
        <v>154</v>
      </c>
      <c r="C41" s="19">
        <v>95</v>
      </c>
      <c r="D41" s="4" t="s">
        <v>155</v>
      </c>
    </row>
    <row r="42" spans="1:4" ht="25.5" x14ac:dyDescent="0.25">
      <c r="A42" s="15" t="s">
        <v>156</v>
      </c>
      <c r="B42" s="4" t="s">
        <v>157</v>
      </c>
      <c r="C42" s="19">
        <v>6500</v>
      </c>
      <c r="D42" s="4" t="s">
        <v>158</v>
      </c>
    </row>
    <row r="43" spans="1:4" ht="25.5" x14ac:dyDescent="0.25">
      <c r="A43" s="15" t="s">
        <v>159</v>
      </c>
      <c r="B43" s="4" t="s">
        <v>160</v>
      </c>
      <c r="C43" s="19">
        <v>2500</v>
      </c>
      <c r="D43" s="4" t="s">
        <v>161</v>
      </c>
    </row>
    <row r="44" spans="1:4" x14ac:dyDescent="0.25">
      <c r="A44" s="15" t="s">
        <v>162</v>
      </c>
      <c r="B44" s="4" t="s">
        <v>163</v>
      </c>
      <c r="C44" s="19">
        <v>300</v>
      </c>
      <c r="D44" s="4" t="s">
        <v>164</v>
      </c>
    </row>
    <row r="45" spans="1:4" ht="25.5" x14ac:dyDescent="0.25">
      <c r="A45" s="15" t="s">
        <v>165</v>
      </c>
      <c r="B45" s="4" t="s">
        <v>166</v>
      </c>
      <c r="C45" s="20">
        <v>2.3599999999999999E-2</v>
      </c>
      <c r="D45" s="4" t="s">
        <v>167</v>
      </c>
    </row>
    <row r="46" spans="1:4" x14ac:dyDescent="0.25">
      <c r="A46" s="15" t="s">
        <v>168</v>
      </c>
      <c r="B46" s="4" t="s">
        <v>169</v>
      </c>
      <c r="C46" s="20">
        <v>2.248E-2</v>
      </c>
      <c r="D46" s="4" t="s">
        <v>170</v>
      </c>
    </row>
    <row r="47" spans="1:4" x14ac:dyDescent="0.25">
      <c r="A47" s="15" t="s">
        <v>171</v>
      </c>
      <c r="B47" s="4" t="s">
        <v>172</v>
      </c>
      <c r="C47" s="19">
        <v>1200000</v>
      </c>
      <c r="D47" s="4" t="s">
        <v>173</v>
      </c>
    </row>
    <row r="48" spans="1:4" x14ac:dyDescent="0.25">
      <c r="A48" s="15" t="s">
        <v>174</v>
      </c>
      <c r="B48" s="4" t="s">
        <v>175</v>
      </c>
      <c r="C48" s="19">
        <v>1250000</v>
      </c>
      <c r="D48" s="4" t="s">
        <v>176</v>
      </c>
    </row>
    <row r="49" spans="1:4" x14ac:dyDescent="0.25">
      <c r="A49" s="15" t="s">
        <v>177</v>
      </c>
      <c r="B49" s="4" t="s">
        <v>178</v>
      </c>
      <c r="C49" s="19">
        <v>1250000</v>
      </c>
      <c r="D49" s="4" t="s">
        <v>179</v>
      </c>
    </row>
    <row r="50" spans="1:4" x14ac:dyDescent="0.25">
      <c r="A50" s="15" t="s">
        <v>180</v>
      </c>
      <c r="B50" s="4" t="s">
        <v>181</v>
      </c>
      <c r="C50" s="19">
        <v>230000</v>
      </c>
      <c r="D50" s="4" t="s">
        <v>182</v>
      </c>
    </row>
    <row r="51" spans="1:4" x14ac:dyDescent="0.25">
      <c r="A51" s="15" t="s">
        <v>183</v>
      </c>
      <c r="B51" s="4" t="s">
        <v>184</v>
      </c>
      <c r="C51" s="19">
        <v>412600</v>
      </c>
      <c r="D51" s="4" t="s">
        <v>185</v>
      </c>
    </row>
    <row r="52" spans="1:4" ht="25.5" x14ac:dyDescent="0.25">
      <c r="A52" s="15" t="s">
        <v>186</v>
      </c>
      <c r="B52" s="4" t="s">
        <v>187</v>
      </c>
      <c r="C52" s="19">
        <v>150000</v>
      </c>
      <c r="D52" s="4" t="s">
        <v>188</v>
      </c>
    </row>
    <row r="53" spans="1:4" ht="38.25" x14ac:dyDescent="0.25">
      <c r="A53" s="15" t="s">
        <v>189</v>
      </c>
      <c r="B53" s="4" t="s">
        <v>190</v>
      </c>
      <c r="C53" s="20">
        <v>1</v>
      </c>
      <c r="D53" s="4" t="s">
        <v>191</v>
      </c>
    </row>
    <row r="54" spans="1:4" x14ac:dyDescent="0.25">
      <c r="A54" s="15" t="s">
        <v>192</v>
      </c>
      <c r="B54" s="4" t="s">
        <v>193</v>
      </c>
      <c r="C54" s="21">
        <v>10</v>
      </c>
      <c r="D54" s="4" t="s">
        <v>194</v>
      </c>
    </row>
    <row r="55" spans="1:4" ht="25.5" x14ac:dyDescent="0.25">
      <c r="A55" s="15" t="s">
        <v>195</v>
      </c>
      <c r="B55" s="4" t="s">
        <v>196</v>
      </c>
      <c r="C55" s="17">
        <v>7.4999999999999997E-2</v>
      </c>
      <c r="D55" s="4" t="s">
        <v>197</v>
      </c>
    </row>
    <row r="56" spans="1:4" x14ac:dyDescent="0.25">
      <c r="A56" s="15" t="s">
        <v>198</v>
      </c>
      <c r="B56" s="4" t="s">
        <v>199</v>
      </c>
      <c r="C56" s="17">
        <v>0.08</v>
      </c>
      <c r="D56" s="4" t="s">
        <v>200</v>
      </c>
    </row>
    <row r="57" spans="1:4" x14ac:dyDescent="0.25">
      <c r="A57" s="15" t="s">
        <v>201</v>
      </c>
      <c r="B57" s="4" t="s">
        <v>202</v>
      </c>
      <c r="C57" s="20">
        <v>0.03</v>
      </c>
      <c r="D57" s="4"/>
    </row>
    <row r="58" spans="1:4" ht="25.5" x14ac:dyDescent="0.25">
      <c r="A58" s="15" t="s">
        <v>203</v>
      </c>
      <c r="B58" s="4" t="s">
        <v>204</v>
      </c>
      <c r="C58" s="19">
        <v>322000</v>
      </c>
      <c r="D58" s="4" t="s">
        <v>205</v>
      </c>
    </row>
    <row r="59" spans="1:4" ht="38.25" x14ac:dyDescent="0.25">
      <c r="A59" s="15" t="s">
        <v>206</v>
      </c>
      <c r="B59" s="4" t="s">
        <v>207</v>
      </c>
      <c r="C59" s="19">
        <v>215</v>
      </c>
      <c r="D59" s="4" t="s">
        <v>208</v>
      </c>
    </row>
    <row r="60" spans="1:4" x14ac:dyDescent="0.25">
      <c r="A60" s="15" t="s">
        <v>209</v>
      </c>
      <c r="B60" s="4" t="s">
        <v>210</v>
      </c>
      <c r="C60" s="19">
        <v>185</v>
      </c>
      <c r="D60" s="4" t="s">
        <v>211</v>
      </c>
    </row>
    <row r="61" spans="1:4" ht="25.5" x14ac:dyDescent="0.25">
      <c r="A61" s="15" t="s">
        <v>212</v>
      </c>
      <c r="B61" s="4" t="s">
        <v>213</v>
      </c>
      <c r="C61" s="19">
        <v>325</v>
      </c>
      <c r="D61" s="4" t="s">
        <v>214</v>
      </c>
    </row>
    <row r="62" spans="1:4" x14ac:dyDescent="0.25">
      <c r="A62" s="15" t="s">
        <v>215</v>
      </c>
      <c r="B62" s="4" t="s">
        <v>216</v>
      </c>
      <c r="C62" s="21">
        <v>2600</v>
      </c>
      <c r="D62" s="4" t="s">
        <v>217</v>
      </c>
    </row>
    <row r="63" spans="1:4" x14ac:dyDescent="0.25">
      <c r="A63" s="15" t="s">
        <v>218</v>
      </c>
      <c r="B63" s="4" t="s">
        <v>219</v>
      </c>
      <c r="C63" s="19">
        <v>65000</v>
      </c>
      <c r="D63" s="4" t="s">
        <v>220</v>
      </c>
    </row>
    <row r="64" spans="1:4" x14ac:dyDescent="0.25">
      <c r="A64" s="15" t="s">
        <v>221</v>
      </c>
      <c r="B64" s="4" t="s">
        <v>222</v>
      </c>
      <c r="C64" s="19">
        <v>90000</v>
      </c>
      <c r="D64" s="4" t="s">
        <v>223</v>
      </c>
    </row>
    <row r="65" spans="1:4" ht="25.5" x14ac:dyDescent="0.25">
      <c r="A65" s="15" t="s">
        <v>224</v>
      </c>
      <c r="B65" s="4" t="s">
        <v>225</v>
      </c>
      <c r="C65" s="19">
        <v>45000</v>
      </c>
      <c r="D65" s="4" t="s">
        <v>226</v>
      </c>
    </row>
    <row r="66" spans="1:4" ht="25.5" x14ac:dyDescent="0.25">
      <c r="A66" s="15" t="s">
        <v>227</v>
      </c>
      <c r="B66" s="4" t="s">
        <v>228</v>
      </c>
      <c r="C66" s="19">
        <v>32000</v>
      </c>
      <c r="D66" s="4" t="s">
        <v>229</v>
      </c>
    </row>
    <row r="67" spans="1:4" x14ac:dyDescent="0.25">
      <c r="A67" s="15" t="s">
        <v>230</v>
      </c>
      <c r="B67" s="4" t="s">
        <v>231</v>
      </c>
      <c r="C67" s="19">
        <v>25000</v>
      </c>
      <c r="D67" s="4" t="s">
        <v>232</v>
      </c>
    </row>
    <row r="68" spans="1:4" x14ac:dyDescent="0.25">
      <c r="A68" s="15" t="s">
        <v>233</v>
      </c>
      <c r="B68" s="4" t="s">
        <v>234</v>
      </c>
      <c r="C68" s="20">
        <v>0.125</v>
      </c>
      <c r="D68" s="4" t="s">
        <v>235</v>
      </c>
    </row>
    <row r="69" spans="1:4" x14ac:dyDescent="0.25">
      <c r="A69" s="15" t="s">
        <v>236</v>
      </c>
      <c r="B69" s="4" t="s">
        <v>237</v>
      </c>
      <c r="C69" s="20">
        <v>0.1</v>
      </c>
      <c r="D69" s="4" t="s">
        <v>238</v>
      </c>
    </row>
    <row r="70" spans="1:4" x14ac:dyDescent="0.25">
      <c r="A70" s="15" t="s">
        <v>239</v>
      </c>
      <c r="B70" s="4" t="s">
        <v>240</v>
      </c>
      <c r="C70" s="20">
        <v>0.06</v>
      </c>
      <c r="D70" s="4" t="s">
        <v>241</v>
      </c>
    </row>
    <row r="71" spans="1:4" x14ac:dyDescent="0.25">
      <c r="A71" s="15" t="s">
        <v>242</v>
      </c>
      <c r="B71" s="4" t="s">
        <v>243</v>
      </c>
      <c r="C71" s="20">
        <v>0.08</v>
      </c>
      <c r="D71" s="4" t="s">
        <v>244</v>
      </c>
    </row>
    <row r="72" spans="1:4" x14ac:dyDescent="0.25">
      <c r="A72" s="15" t="s">
        <v>245</v>
      </c>
      <c r="B72" s="4" t="s">
        <v>246</v>
      </c>
      <c r="C72" s="20">
        <v>7.0000000000000007E-2</v>
      </c>
      <c r="D72" s="4" t="s">
        <v>247</v>
      </c>
    </row>
    <row r="73" spans="1:4" x14ac:dyDescent="0.25">
      <c r="A73" s="15" t="s">
        <v>248</v>
      </c>
      <c r="B73" s="4" t="s">
        <v>249</v>
      </c>
      <c r="C73" s="20">
        <v>1.4999999999999999E-2</v>
      </c>
      <c r="D73" s="4" t="s">
        <v>250</v>
      </c>
    </row>
    <row r="74" spans="1:4" x14ac:dyDescent="0.25">
      <c r="A74" s="15" t="s">
        <v>251</v>
      </c>
      <c r="B74" s="4" t="s">
        <v>252</v>
      </c>
      <c r="C74" s="20">
        <v>0.01</v>
      </c>
      <c r="D74" s="4"/>
    </row>
    <row r="75" spans="1:4" x14ac:dyDescent="0.25">
      <c r="A75" s="15" t="s">
        <v>253</v>
      </c>
      <c r="B75" s="4" t="s">
        <v>254</v>
      </c>
      <c r="C75" s="20">
        <v>1.2E-2</v>
      </c>
      <c r="D75" s="4"/>
    </row>
    <row r="76" spans="1:4" x14ac:dyDescent="0.25">
      <c r="A76" s="15" t="s">
        <v>255</v>
      </c>
      <c r="B76" s="4" t="s">
        <v>256</v>
      </c>
      <c r="C76" s="19">
        <v>12000</v>
      </c>
      <c r="D76" s="4" t="s">
        <v>257</v>
      </c>
    </row>
    <row r="77" spans="1:4" x14ac:dyDescent="0.25">
      <c r="A77" s="15" t="s">
        <v>258</v>
      </c>
      <c r="B77" s="4" t="s">
        <v>259</v>
      </c>
      <c r="C77" s="19">
        <v>750</v>
      </c>
      <c r="D77" s="4"/>
    </row>
    <row r="78" spans="1:4" x14ac:dyDescent="0.25">
      <c r="A78" s="15" t="s">
        <v>260</v>
      </c>
      <c r="B78" s="4" t="s">
        <v>261</v>
      </c>
      <c r="C78" s="20">
        <v>0.05</v>
      </c>
      <c r="D78" s="4"/>
    </row>
    <row r="79" spans="1:4" x14ac:dyDescent="0.25">
      <c r="A79" s="15" t="s">
        <v>262</v>
      </c>
      <c r="B79" s="4" t="s">
        <v>263</v>
      </c>
      <c r="C79" s="20">
        <v>0.08</v>
      </c>
      <c r="D79" s="4" t="s">
        <v>264</v>
      </c>
    </row>
    <row r="80" spans="1:4" x14ac:dyDescent="0.25">
      <c r="A80" s="15" t="s">
        <v>265</v>
      </c>
      <c r="B80" s="4" t="s">
        <v>266</v>
      </c>
      <c r="C80" s="20">
        <v>0.5</v>
      </c>
      <c r="D80" s="4" t="s">
        <v>267</v>
      </c>
    </row>
    <row r="81" spans="1:4" x14ac:dyDescent="0.25">
      <c r="A81" s="15" t="s">
        <v>268</v>
      </c>
      <c r="B81" s="4" t="s">
        <v>269</v>
      </c>
      <c r="C81" s="21">
        <v>6</v>
      </c>
      <c r="D81" s="4" t="s">
        <v>270</v>
      </c>
    </row>
    <row r="82" spans="1:4" ht="25.5" x14ac:dyDescent="0.25">
      <c r="A82" s="15" t="s">
        <v>271</v>
      </c>
      <c r="B82" s="4" t="s">
        <v>272</v>
      </c>
      <c r="C82" s="17">
        <v>0.05</v>
      </c>
      <c r="D82" s="4" t="s">
        <v>273</v>
      </c>
    </row>
    <row r="83" spans="1:4" x14ac:dyDescent="0.25">
      <c r="A83" s="15" t="s">
        <v>274</v>
      </c>
      <c r="B83" s="4" t="s">
        <v>275</v>
      </c>
      <c r="C83" s="21">
        <v>25</v>
      </c>
      <c r="D83" s="4"/>
    </row>
    <row r="84" spans="1:4" ht="25.5" x14ac:dyDescent="0.25">
      <c r="A84" s="15" t="s">
        <v>276</v>
      </c>
      <c r="B84" s="4" t="s">
        <v>277</v>
      </c>
      <c r="C84" s="21">
        <v>7</v>
      </c>
      <c r="D84" s="4" t="s">
        <v>278</v>
      </c>
    </row>
    <row r="85" spans="1:4" x14ac:dyDescent="0.25">
      <c r="A85" s="15" t="s">
        <v>279</v>
      </c>
      <c r="B85" s="4" t="s">
        <v>280</v>
      </c>
      <c r="C85" s="21">
        <v>18</v>
      </c>
      <c r="D85" s="4" t="s">
        <v>281</v>
      </c>
    </row>
    <row r="86" spans="1:4" x14ac:dyDescent="0.25">
      <c r="A86" s="15" t="s">
        <v>282</v>
      </c>
      <c r="B86" s="4" t="s">
        <v>283</v>
      </c>
      <c r="C86" s="20">
        <v>0.55000000000000004</v>
      </c>
      <c r="D86" s="4" t="s">
        <v>284</v>
      </c>
    </row>
    <row r="87" spans="1:4" x14ac:dyDescent="0.25">
      <c r="A87" s="15" t="s">
        <v>285</v>
      </c>
      <c r="B87" s="4" t="s">
        <v>286</v>
      </c>
      <c r="C87" s="20">
        <v>1.4999999999999999E-2</v>
      </c>
      <c r="D87" s="4" t="s">
        <v>287</v>
      </c>
    </row>
    <row r="88" spans="1:4" x14ac:dyDescent="0.25">
      <c r="A88" s="15" t="s">
        <v>288</v>
      </c>
      <c r="B88" s="4" t="s">
        <v>289</v>
      </c>
      <c r="C88" s="20">
        <v>0.8</v>
      </c>
      <c r="D88" s="4" t="s">
        <v>290</v>
      </c>
    </row>
    <row r="89" spans="1:4" x14ac:dyDescent="0.25">
      <c r="A89" s="15" t="s">
        <v>291</v>
      </c>
      <c r="B89" s="4" t="s">
        <v>292</v>
      </c>
      <c r="C89" s="20">
        <v>0.8</v>
      </c>
      <c r="D89" s="4" t="s">
        <v>293</v>
      </c>
    </row>
    <row r="90" spans="1:4" x14ac:dyDescent="0.25">
      <c r="A90" s="15" t="s">
        <v>294</v>
      </c>
      <c r="B90" s="4" t="s">
        <v>295</v>
      </c>
      <c r="C90" s="19">
        <v>3000000</v>
      </c>
      <c r="D90" s="4" t="s">
        <v>296</v>
      </c>
    </row>
    <row r="91" spans="1:4" x14ac:dyDescent="0.25">
      <c r="A91" s="15" t="s">
        <v>297</v>
      </c>
      <c r="B91" s="4" t="s">
        <v>298</v>
      </c>
      <c r="C91" s="22">
        <v>1</v>
      </c>
      <c r="D91" s="4" t="s">
        <v>299</v>
      </c>
    </row>
    <row r="92" spans="1:4" ht="25.5" x14ac:dyDescent="0.25">
      <c r="A92" s="15" t="s">
        <v>300</v>
      </c>
      <c r="B92" s="4" t="s">
        <v>301</v>
      </c>
      <c r="C92" s="23">
        <v>1.25</v>
      </c>
      <c r="D92" s="4" t="s">
        <v>302</v>
      </c>
    </row>
    <row r="93" spans="1:4" ht="25.5" x14ac:dyDescent="0.25">
      <c r="A93" s="15" t="s">
        <v>303</v>
      </c>
      <c r="B93" s="4" t="s">
        <v>304</v>
      </c>
      <c r="C93" s="17">
        <v>7.2499999999999995E-2</v>
      </c>
      <c r="D93" s="4" t="s">
        <v>305</v>
      </c>
    </row>
    <row r="94" spans="1:4" x14ac:dyDescent="0.25">
      <c r="A94" s="15" t="s">
        <v>306</v>
      </c>
      <c r="B94" s="4" t="s">
        <v>307</v>
      </c>
      <c r="C94" s="21">
        <v>25</v>
      </c>
      <c r="D94" s="4"/>
    </row>
    <row r="95" spans="1:4" ht="25.5" x14ac:dyDescent="0.25">
      <c r="A95" s="15" t="s">
        <v>308</v>
      </c>
      <c r="B95" s="4" t="s">
        <v>309</v>
      </c>
      <c r="C95" s="19">
        <v>547000</v>
      </c>
      <c r="D95" s="4" t="s">
        <v>310</v>
      </c>
    </row>
    <row r="96" spans="1:4" ht="25.5" x14ac:dyDescent="0.25">
      <c r="A96" s="15" t="s">
        <v>311</v>
      </c>
      <c r="B96" s="4" t="s">
        <v>312</v>
      </c>
      <c r="C96" s="20">
        <v>0.12</v>
      </c>
      <c r="D96" s="4" t="s">
        <v>313</v>
      </c>
    </row>
    <row r="97" spans="1:4" x14ac:dyDescent="0.25">
      <c r="A97" s="15" t="s">
        <v>314</v>
      </c>
      <c r="B97" s="4" t="s">
        <v>315</v>
      </c>
      <c r="C97" s="20">
        <v>2.5000000000000001E-2</v>
      </c>
      <c r="D97" s="4"/>
    </row>
    <row r="98" spans="1:4" x14ac:dyDescent="0.25">
      <c r="A98" s="15" t="s">
        <v>316</v>
      </c>
      <c r="B98" s="4" t="s">
        <v>317</v>
      </c>
      <c r="C98" s="19">
        <v>200000</v>
      </c>
      <c r="D98" s="4" t="s">
        <v>318</v>
      </c>
    </row>
    <row r="99" spans="1:4" ht="38.25" x14ac:dyDescent="0.25">
      <c r="A99" s="15" t="s">
        <v>319</v>
      </c>
      <c r="B99" s="4" t="s">
        <v>320</v>
      </c>
      <c r="C99" s="19">
        <v>500000</v>
      </c>
      <c r="D99" s="4" t="s">
        <v>321</v>
      </c>
    </row>
    <row r="100" spans="1:4" ht="25.5" x14ac:dyDescent="0.25">
      <c r="A100" s="15" t="s">
        <v>322</v>
      </c>
      <c r="B100" s="4" t="s">
        <v>323</v>
      </c>
      <c r="C100" s="19">
        <v>50000</v>
      </c>
      <c r="D100" s="4" t="s">
        <v>324</v>
      </c>
    </row>
    <row r="101" spans="1:4" ht="25.5" x14ac:dyDescent="0.25">
      <c r="A101" s="15" t="s">
        <v>325</v>
      </c>
      <c r="B101" s="4" t="s">
        <v>326</v>
      </c>
      <c r="C101" s="20">
        <v>0.2</v>
      </c>
      <c r="D101" s="4" t="s">
        <v>327</v>
      </c>
    </row>
    <row r="102" spans="1:4" ht="25.5" x14ac:dyDescent="0.25">
      <c r="A102" s="15" t="s">
        <v>328</v>
      </c>
      <c r="B102" s="4" t="s">
        <v>329</v>
      </c>
      <c r="C102" s="20">
        <v>0.2</v>
      </c>
      <c r="D102" s="4" t="s">
        <v>330</v>
      </c>
    </row>
    <row r="103" spans="1:4" ht="25.5" x14ac:dyDescent="0.25">
      <c r="A103" s="15" t="s">
        <v>331</v>
      </c>
      <c r="B103" s="4" t="s">
        <v>332</v>
      </c>
      <c r="C103" s="24">
        <v>0.85</v>
      </c>
      <c r="D103" s="4" t="s">
        <v>333</v>
      </c>
    </row>
    <row r="104" spans="1:4" x14ac:dyDescent="0.25">
      <c r="A104" s="15" t="s">
        <v>334</v>
      </c>
      <c r="B104" s="4" t="s">
        <v>335</v>
      </c>
      <c r="C104" s="20">
        <v>0.8</v>
      </c>
      <c r="D104" s="4" t="s">
        <v>336</v>
      </c>
    </row>
    <row r="105" spans="1:4" ht="25.5" x14ac:dyDescent="0.25">
      <c r="A105" s="15" t="s">
        <v>337</v>
      </c>
      <c r="B105" s="4" t="s">
        <v>338</v>
      </c>
      <c r="C105" s="22">
        <v>1</v>
      </c>
      <c r="D105" s="4" t="s">
        <v>339</v>
      </c>
    </row>
    <row r="106" spans="1:4" x14ac:dyDescent="0.25">
      <c r="A106" s="15" t="s">
        <v>340</v>
      </c>
      <c r="B106" s="4" t="s">
        <v>341</v>
      </c>
      <c r="C106" s="22">
        <v>1</v>
      </c>
      <c r="D106" s="4" t="s">
        <v>342</v>
      </c>
    </row>
    <row r="107" spans="1:4" x14ac:dyDescent="0.25">
      <c r="A107" s="15" t="s">
        <v>343</v>
      </c>
      <c r="B107" s="4" t="s">
        <v>344</v>
      </c>
      <c r="C107" s="19">
        <v>250000</v>
      </c>
      <c r="D107" s="4" t="s">
        <v>345</v>
      </c>
    </row>
    <row r="108" spans="1:4" x14ac:dyDescent="0.25">
      <c r="A108" s="15" t="s">
        <v>346</v>
      </c>
      <c r="B108" s="4" t="s">
        <v>347</v>
      </c>
      <c r="C108" s="19">
        <v>250000</v>
      </c>
      <c r="D108" s="4" t="s">
        <v>348</v>
      </c>
    </row>
    <row r="109" spans="1:4" x14ac:dyDescent="0.25">
      <c r="A109" s="15" t="s">
        <v>349</v>
      </c>
      <c r="B109" s="4" t="s">
        <v>350</v>
      </c>
      <c r="C109" s="19">
        <v>559000</v>
      </c>
      <c r="D109" s="4" t="s">
        <v>351</v>
      </c>
    </row>
    <row r="110" spans="1:4" x14ac:dyDescent="0.25">
      <c r="A110" s="15" t="s">
        <v>352</v>
      </c>
      <c r="B110" s="4" t="s">
        <v>353</v>
      </c>
      <c r="C110" s="21">
        <v>3800</v>
      </c>
      <c r="D110" s="4" t="s">
        <v>354</v>
      </c>
    </row>
    <row r="111" spans="1:4" ht="25.5" x14ac:dyDescent="0.25">
      <c r="A111" s="15" t="s">
        <v>355</v>
      </c>
      <c r="B111" s="4" t="s">
        <v>356</v>
      </c>
      <c r="C111" s="21">
        <v>6300</v>
      </c>
      <c r="D111" s="4" t="s">
        <v>357</v>
      </c>
    </row>
    <row r="112" spans="1:4" x14ac:dyDescent="0.25">
      <c r="A112" s="15" t="s">
        <v>358</v>
      </c>
      <c r="B112" s="4" t="s">
        <v>359</v>
      </c>
      <c r="C112" s="19">
        <v>797000</v>
      </c>
      <c r="D112" s="4" t="s">
        <v>360</v>
      </c>
    </row>
    <row r="113" spans="1:4" x14ac:dyDescent="0.25">
      <c r="A113" s="15" t="s">
        <v>361</v>
      </c>
      <c r="B113" s="4" t="s">
        <v>362</v>
      </c>
      <c r="C113" s="19">
        <v>36052</v>
      </c>
      <c r="D113" s="4" t="s">
        <v>363</v>
      </c>
    </row>
    <row r="114" spans="1:4" ht="25.5" x14ac:dyDescent="0.25">
      <c r="A114" s="15" t="s">
        <v>364</v>
      </c>
      <c r="B114" s="4" t="s">
        <v>365</v>
      </c>
      <c r="C114" s="19">
        <v>230744</v>
      </c>
      <c r="D114" s="4" t="s">
        <v>366</v>
      </c>
    </row>
    <row r="115" spans="1:4" ht="25.5" x14ac:dyDescent="0.25">
      <c r="A115" s="15" t="s">
        <v>367</v>
      </c>
      <c r="B115" s="4" t="s">
        <v>368</v>
      </c>
      <c r="C115" s="19">
        <v>19510</v>
      </c>
      <c r="D115" s="4" t="s">
        <v>369</v>
      </c>
    </row>
    <row r="116" spans="1:4" x14ac:dyDescent="0.25">
      <c r="A116" s="15" t="s">
        <v>370</v>
      </c>
      <c r="B116" s="4" t="s">
        <v>371</v>
      </c>
      <c r="C116" s="19">
        <v>25000</v>
      </c>
      <c r="D116" s="4"/>
    </row>
    <row r="117" spans="1:4" x14ac:dyDescent="0.25">
      <c r="A117" s="15" t="s">
        <v>372</v>
      </c>
      <c r="B117" s="4" t="s">
        <v>373</v>
      </c>
      <c r="C117" s="20">
        <v>0.02</v>
      </c>
      <c r="D117" s="4"/>
    </row>
    <row r="118" spans="1:4" ht="25.5" x14ac:dyDescent="0.25">
      <c r="A118" s="15" t="s">
        <v>374</v>
      </c>
      <c r="B118" s="4" t="s">
        <v>375</v>
      </c>
      <c r="C118" s="22">
        <v>0</v>
      </c>
      <c r="D118" s="4" t="s">
        <v>376</v>
      </c>
    </row>
    <row r="119" spans="1:4" ht="25.5" x14ac:dyDescent="0.25">
      <c r="A119" s="15" t="s">
        <v>377</v>
      </c>
      <c r="B119" s="4" t="s">
        <v>378</v>
      </c>
      <c r="C119" s="22">
        <v>1</v>
      </c>
      <c r="D119" s="4" t="s">
        <v>379</v>
      </c>
    </row>
    <row r="120" spans="1:4" ht="38.25" x14ac:dyDescent="0.25">
      <c r="A120" s="15" t="s">
        <v>380</v>
      </c>
      <c r="B120" s="4" t="s">
        <v>381</v>
      </c>
      <c r="C120" s="19">
        <v>150000</v>
      </c>
      <c r="D120" s="4" t="s">
        <v>382</v>
      </c>
    </row>
    <row r="121" spans="1:4" ht="25.5" x14ac:dyDescent="0.25">
      <c r="A121" s="15" t="s">
        <v>383</v>
      </c>
      <c r="B121" s="4" t="s">
        <v>384</v>
      </c>
      <c r="C121" s="19">
        <v>250000</v>
      </c>
      <c r="D121" s="4" t="s">
        <v>385</v>
      </c>
    </row>
    <row r="122" spans="1:4" ht="25.5" x14ac:dyDescent="0.25">
      <c r="A122" s="15" t="s">
        <v>386</v>
      </c>
      <c r="B122" s="4" t="s">
        <v>387</v>
      </c>
      <c r="C122" s="19">
        <v>100000</v>
      </c>
      <c r="D122" s="4" t="s">
        <v>388</v>
      </c>
    </row>
    <row r="123" spans="1:4" x14ac:dyDescent="0.25">
      <c r="A123" s="15" t="s">
        <v>389</v>
      </c>
      <c r="B123" s="4" t="s">
        <v>390</v>
      </c>
      <c r="C123" s="22">
        <v>2029</v>
      </c>
      <c r="D123" s="4" t="s">
        <v>391</v>
      </c>
    </row>
    <row r="124" spans="1:4" x14ac:dyDescent="0.25">
      <c r="A124" s="13" t="s">
        <v>392</v>
      </c>
      <c r="B124" s="14"/>
      <c r="C124" s="14"/>
      <c r="D124" s="14"/>
    </row>
    <row r="125" spans="1:4" x14ac:dyDescent="0.25">
      <c r="A125" s="15" t="s">
        <v>393</v>
      </c>
      <c r="B125" s="4" t="s">
        <v>394</v>
      </c>
      <c r="C125" s="19">
        <v>300000</v>
      </c>
      <c r="D125" s="4" t="s">
        <v>395</v>
      </c>
    </row>
    <row r="126" spans="1:4" x14ac:dyDescent="0.25">
      <c r="A126" s="15" t="s">
        <v>396</v>
      </c>
      <c r="B126" s="4" t="s">
        <v>397</v>
      </c>
      <c r="C126" s="20">
        <v>0.5</v>
      </c>
      <c r="D126" s="4" t="s">
        <v>398</v>
      </c>
    </row>
    <row r="127" spans="1:4" x14ac:dyDescent="0.25">
      <c r="A127" s="15" t="s">
        <v>399</v>
      </c>
      <c r="B127" s="4" t="s">
        <v>400</v>
      </c>
      <c r="C127" s="22">
        <v>1</v>
      </c>
      <c r="D127" s="4" t="s">
        <v>401</v>
      </c>
    </row>
    <row r="128" spans="1:4" ht="25.5" x14ac:dyDescent="0.25">
      <c r="A128" s="15" t="s">
        <v>402</v>
      </c>
      <c r="B128" s="4" t="s">
        <v>403</v>
      </c>
      <c r="C128" s="18">
        <v>0</v>
      </c>
      <c r="D128" s="4" t="s">
        <v>404</v>
      </c>
    </row>
    <row r="129" spans="1:4" x14ac:dyDescent="0.25">
      <c r="A129" s="25"/>
      <c r="B129" s="25"/>
      <c r="C129" s="25"/>
      <c r="D129" s="25"/>
    </row>
    <row r="130" spans="1:4" ht="38.25" x14ac:dyDescent="0.25">
      <c r="B130" s="26" t="s">
        <v>405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42" customWidth="1"/>
    <col min="3" max="3" width="7" customWidth="1"/>
    <col min="4" max="4" width="24" customWidth="1"/>
    <col min="5" max="5" width="13" customWidth="1"/>
    <col min="6" max="6" width="8" customWidth="1"/>
    <col min="7" max="8" width="12" customWidth="1"/>
    <col min="9" max="9" width="8" customWidth="1"/>
    <col min="10" max="13" width="14" customWidth="1"/>
    <col min="14" max="14" width="10" customWidth="1"/>
  </cols>
  <sheetData>
    <row r="1" spans="1:14" ht="20.25" x14ac:dyDescent="0.3">
      <c r="A1" s="1" t="s">
        <v>406</v>
      </c>
    </row>
    <row r="2" spans="1:14" x14ac:dyDescent="0.25">
      <c r="A2" s="2" t="s">
        <v>407</v>
      </c>
    </row>
    <row r="4" spans="1:14" ht="27.95" customHeight="1" x14ac:dyDescent="0.25">
      <c r="A4" s="11" t="s">
        <v>408</v>
      </c>
      <c r="B4" s="12" t="s">
        <v>409</v>
      </c>
      <c r="C4" s="12" t="s">
        <v>410</v>
      </c>
      <c r="D4" s="12" t="s">
        <v>411</v>
      </c>
      <c r="E4" s="12" t="s">
        <v>412</v>
      </c>
      <c r="F4" s="12" t="s">
        <v>413</v>
      </c>
      <c r="G4" s="12" t="s">
        <v>414</v>
      </c>
      <c r="H4" s="12" t="s">
        <v>415</v>
      </c>
      <c r="I4" s="12" t="s">
        <v>416</v>
      </c>
      <c r="J4" s="12" t="s">
        <v>417</v>
      </c>
      <c r="K4" s="12" t="s">
        <v>418</v>
      </c>
      <c r="L4" s="12" t="s">
        <v>419</v>
      </c>
      <c r="M4" s="12" t="s">
        <v>420</v>
      </c>
      <c r="N4" s="12" t="s">
        <v>421</v>
      </c>
    </row>
    <row r="5" spans="1:14" x14ac:dyDescent="0.25">
      <c r="A5" s="7" t="s">
        <v>422</v>
      </c>
      <c r="B5" s="7" t="s">
        <v>423</v>
      </c>
      <c r="C5" s="7" t="s">
        <v>424</v>
      </c>
      <c r="D5" s="7" t="s">
        <v>425</v>
      </c>
      <c r="E5" s="7" t="s">
        <v>426</v>
      </c>
      <c r="F5" s="27">
        <v>450</v>
      </c>
      <c r="G5" s="28">
        <v>1850</v>
      </c>
      <c r="H5" s="28">
        <v>1500</v>
      </c>
      <c r="I5" s="29">
        <f t="shared" ref="I5:I26" si="0">IF(AND(E5="Residential",ISNUMBER(SEARCH("Rear",B5))),1,0)</f>
        <v>0</v>
      </c>
      <c r="J5" s="30">
        <f t="shared" ref="J5:J26" si="1">IF(E5="Residential",H5*(1+furnished_premium),H5)</f>
        <v>1650.0000000000002</v>
      </c>
      <c r="K5" s="30">
        <f t="shared" ref="K5:K26" si="2">IF(use_market=1,J5,G5)*IF(E5="Residential",1+res_rent_change,1+com_rent_change)</f>
        <v>1850</v>
      </c>
      <c r="L5" s="30">
        <f t="shared" ref="L5:L26" si="3">K5*12</f>
        <v>22200</v>
      </c>
      <c r="M5" s="30">
        <f t="shared" ref="M5:M26" si="4">J5*12</f>
        <v>19800.000000000004</v>
      </c>
      <c r="N5" s="31">
        <f t="shared" ref="N5:N26" si="5">IF(H5=0,0,G5/H5-1)</f>
        <v>0.23333333333333339</v>
      </c>
    </row>
    <row r="6" spans="1:14" x14ac:dyDescent="0.25">
      <c r="A6" s="7" t="s">
        <v>422</v>
      </c>
      <c r="B6" s="7" t="s">
        <v>427</v>
      </c>
      <c r="C6" s="7" t="s">
        <v>424</v>
      </c>
      <c r="D6" s="7" t="s">
        <v>425</v>
      </c>
      <c r="E6" s="7" t="s">
        <v>426</v>
      </c>
      <c r="F6" s="27">
        <v>500</v>
      </c>
      <c r="G6" s="28">
        <v>2050</v>
      </c>
      <c r="H6" s="28">
        <v>1625</v>
      </c>
      <c r="I6" s="29">
        <f t="shared" si="0"/>
        <v>1</v>
      </c>
      <c r="J6" s="30">
        <f t="shared" si="1"/>
        <v>1787.5000000000002</v>
      </c>
      <c r="K6" s="30">
        <f t="shared" si="2"/>
        <v>2050</v>
      </c>
      <c r="L6" s="30">
        <f t="shared" si="3"/>
        <v>24600</v>
      </c>
      <c r="M6" s="30">
        <f t="shared" si="4"/>
        <v>21450.000000000004</v>
      </c>
      <c r="N6" s="31">
        <f t="shared" si="5"/>
        <v>0.2615384615384615</v>
      </c>
    </row>
    <row r="7" spans="1:14" x14ac:dyDescent="0.25">
      <c r="A7" s="7" t="s">
        <v>422</v>
      </c>
      <c r="B7" s="7" t="s">
        <v>428</v>
      </c>
      <c r="C7" s="7" t="s">
        <v>429</v>
      </c>
      <c r="D7" s="7" t="s">
        <v>425</v>
      </c>
      <c r="E7" s="7" t="s">
        <v>426</v>
      </c>
      <c r="F7" s="27">
        <v>450</v>
      </c>
      <c r="G7" s="28">
        <v>1850</v>
      </c>
      <c r="H7" s="28">
        <v>1500</v>
      </c>
      <c r="I7" s="29">
        <f t="shared" si="0"/>
        <v>0</v>
      </c>
      <c r="J7" s="30">
        <f t="shared" si="1"/>
        <v>1650.0000000000002</v>
      </c>
      <c r="K7" s="30">
        <f t="shared" si="2"/>
        <v>1850</v>
      </c>
      <c r="L7" s="30">
        <f t="shared" si="3"/>
        <v>22200</v>
      </c>
      <c r="M7" s="30">
        <f t="shared" si="4"/>
        <v>19800.000000000004</v>
      </c>
      <c r="N7" s="31">
        <f t="shared" si="5"/>
        <v>0.23333333333333339</v>
      </c>
    </row>
    <row r="8" spans="1:14" x14ac:dyDescent="0.25">
      <c r="A8" s="7" t="s">
        <v>422</v>
      </c>
      <c r="B8" s="7" t="s">
        <v>430</v>
      </c>
      <c r="C8" s="7" t="s">
        <v>429</v>
      </c>
      <c r="D8" s="7" t="s">
        <v>425</v>
      </c>
      <c r="E8" s="7" t="s">
        <v>426</v>
      </c>
      <c r="F8" s="27">
        <v>500</v>
      </c>
      <c r="G8" s="28">
        <v>2050</v>
      </c>
      <c r="H8" s="28">
        <v>1625</v>
      </c>
      <c r="I8" s="29">
        <f t="shared" si="0"/>
        <v>1</v>
      </c>
      <c r="J8" s="30">
        <f t="shared" si="1"/>
        <v>1787.5000000000002</v>
      </c>
      <c r="K8" s="30">
        <f t="shared" si="2"/>
        <v>2050</v>
      </c>
      <c r="L8" s="30">
        <f t="shared" si="3"/>
        <v>24600</v>
      </c>
      <c r="M8" s="30">
        <f t="shared" si="4"/>
        <v>21450.000000000004</v>
      </c>
      <c r="N8" s="31">
        <f t="shared" si="5"/>
        <v>0.2615384615384615</v>
      </c>
    </row>
    <row r="9" spans="1:14" x14ac:dyDescent="0.25">
      <c r="A9" s="7" t="s">
        <v>422</v>
      </c>
      <c r="B9" s="7" t="s">
        <v>431</v>
      </c>
      <c r="C9" s="7" t="s">
        <v>432</v>
      </c>
      <c r="D9" s="7" t="s">
        <v>433</v>
      </c>
      <c r="E9" s="7" t="s">
        <v>426</v>
      </c>
      <c r="F9" s="27">
        <v>340</v>
      </c>
      <c r="G9" s="28">
        <v>1950</v>
      </c>
      <c r="H9" s="28">
        <v>1425</v>
      </c>
      <c r="I9" s="29">
        <f t="shared" si="0"/>
        <v>1</v>
      </c>
      <c r="J9" s="30">
        <f t="shared" si="1"/>
        <v>1567.5000000000002</v>
      </c>
      <c r="K9" s="30">
        <f t="shared" si="2"/>
        <v>1950</v>
      </c>
      <c r="L9" s="30">
        <f t="shared" si="3"/>
        <v>23400</v>
      </c>
      <c r="M9" s="30">
        <f t="shared" si="4"/>
        <v>18810.000000000004</v>
      </c>
      <c r="N9" s="31">
        <f t="shared" si="5"/>
        <v>0.36842105263157898</v>
      </c>
    </row>
    <row r="10" spans="1:14" x14ac:dyDescent="0.25">
      <c r="A10" s="7" t="s">
        <v>422</v>
      </c>
      <c r="B10" s="7" t="s">
        <v>434</v>
      </c>
      <c r="C10" s="7" t="s">
        <v>432</v>
      </c>
      <c r="D10" s="7" t="s">
        <v>425</v>
      </c>
      <c r="E10" s="7" t="s">
        <v>426</v>
      </c>
      <c r="F10" s="27">
        <v>500</v>
      </c>
      <c r="G10" s="28">
        <v>2000</v>
      </c>
      <c r="H10" s="28">
        <v>1600</v>
      </c>
      <c r="I10" s="29">
        <f t="shared" si="0"/>
        <v>0</v>
      </c>
      <c r="J10" s="30">
        <f t="shared" si="1"/>
        <v>1760.0000000000002</v>
      </c>
      <c r="K10" s="30">
        <f t="shared" si="2"/>
        <v>2000</v>
      </c>
      <c r="L10" s="30">
        <f t="shared" si="3"/>
        <v>24000</v>
      </c>
      <c r="M10" s="30">
        <f t="shared" si="4"/>
        <v>21120.000000000004</v>
      </c>
      <c r="N10" s="31">
        <f t="shared" si="5"/>
        <v>0.25</v>
      </c>
    </row>
    <row r="11" spans="1:14" x14ac:dyDescent="0.25">
      <c r="A11" s="7" t="s">
        <v>435</v>
      </c>
      <c r="B11" s="7" t="s">
        <v>423</v>
      </c>
      <c r="C11" s="7" t="s">
        <v>424</v>
      </c>
      <c r="D11" s="7" t="s">
        <v>436</v>
      </c>
      <c r="E11" s="7" t="s">
        <v>426</v>
      </c>
      <c r="F11" s="27">
        <v>625</v>
      </c>
      <c r="G11" s="28">
        <v>2050</v>
      </c>
      <c r="H11" s="28">
        <v>1750</v>
      </c>
      <c r="I11" s="29">
        <f t="shared" si="0"/>
        <v>0</v>
      </c>
      <c r="J11" s="30">
        <f t="shared" si="1"/>
        <v>1925.0000000000002</v>
      </c>
      <c r="K11" s="30">
        <f t="shared" si="2"/>
        <v>2050</v>
      </c>
      <c r="L11" s="30">
        <f t="shared" si="3"/>
        <v>24600</v>
      </c>
      <c r="M11" s="30">
        <f t="shared" si="4"/>
        <v>23100.000000000004</v>
      </c>
      <c r="N11" s="31">
        <f t="shared" si="5"/>
        <v>0.17142857142857149</v>
      </c>
    </row>
    <row r="12" spans="1:14" x14ac:dyDescent="0.25">
      <c r="A12" s="7" t="s">
        <v>435</v>
      </c>
      <c r="B12" s="7" t="s">
        <v>427</v>
      </c>
      <c r="C12" s="7" t="s">
        <v>424</v>
      </c>
      <c r="D12" s="7" t="s">
        <v>425</v>
      </c>
      <c r="E12" s="7" t="s">
        <v>426</v>
      </c>
      <c r="F12" s="27">
        <v>575</v>
      </c>
      <c r="G12" s="28">
        <v>2100</v>
      </c>
      <c r="H12" s="28">
        <v>1725</v>
      </c>
      <c r="I12" s="29">
        <f t="shared" si="0"/>
        <v>1</v>
      </c>
      <c r="J12" s="30">
        <f t="shared" si="1"/>
        <v>1897.5000000000002</v>
      </c>
      <c r="K12" s="30">
        <f t="shared" si="2"/>
        <v>2100</v>
      </c>
      <c r="L12" s="30">
        <f t="shared" si="3"/>
        <v>25200</v>
      </c>
      <c r="M12" s="30">
        <f t="shared" si="4"/>
        <v>22770.000000000004</v>
      </c>
      <c r="N12" s="31">
        <f t="shared" si="5"/>
        <v>0.21739130434782616</v>
      </c>
    </row>
    <row r="13" spans="1:14" x14ac:dyDescent="0.25">
      <c r="A13" s="7" t="s">
        <v>435</v>
      </c>
      <c r="B13" s="7" t="s">
        <v>437</v>
      </c>
      <c r="C13" s="7" t="s">
        <v>429</v>
      </c>
      <c r="D13" s="7" t="s">
        <v>438</v>
      </c>
      <c r="E13" s="7" t="s">
        <v>426</v>
      </c>
      <c r="F13" s="27">
        <v>700</v>
      </c>
      <c r="G13" s="28">
        <v>2250</v>
      </c>
      <c r="H13" s="28">
        <v>2100</v>
      </c>
      <c r="I13" s="29">
        <f t="shared" si="0"/>
        <v>0</v>
      </c>
      <c r="J13" s="30">
        <f t="shared" si="1"/>
        <v>2310</v>
      </c>
      <c r="K13" s="30">
        <f t="shared" si="2"/>
        <v>2250</v>
      </c>
      <c r="L13" s="30">
        <f t="shared" si="3"/>
        <v>27000</v>
      </c>
      <c r="M13" s="30">
        <f t="shared" si="4"/>
        <v>27720</v>
      </c>
      <c r="N13" s="31">
        <f t="shared" si="5"/>
        <v>7.1428571428571397E-2</v>
      </c>
    </row>
    <row r="14" spans="1:14" x14ac:dyDescent="0.25">
      <c r="A14" s="7" t="s">
        <v>435</v>
      </c>
      <c r="B14" s="7" t="s">
        <v>439</v>
      </c>
      <c r="C14" s="7" t="s">
        <v>429</v>
      </c>
      <c r="D14" s="7" t="s">
        <v>425</v>
      </c>
      <c r="E14" s="7" t="s">
        <v>426</v>
      </c>
      <c r="F14" s="27">
        <v>575</v>
      </c>
      <c r="G14" s="28">
        <v>2150</v>
      </c>
      <c r="H14" s="28">
        <v>1725</v>
      </c>
      <c r="I14" s="29">
        <f t="shared" si="0"/>
        <v>1</v>
      </c>
      <c r="J14" s="30">
        <f t="shared" si="1"/>
        <v>1897.5000000000002</v>
      </c>
      <c r="K14" s="30">
        <f t="shared" si="2"/>
        <v>2150</v>
      </c>
      <c r="L14" s="30">
        <f t="shared" si="3"/>
        <v>25800</v>
      </c>
      <c r="M14" s="30">
        <f t="shared" si="4"/>
        <v>22770.000000000004</v>
      </c>
      <c r="N14" s="31">
        <f t="shared" si="5"/>
        <v>0.24637681159420288</v>
      </c>
    </row>
    <row r="15" spans="1:14" x14ac:dyDescent="0.25">
      <c r="A15" s="7" t="s">
        <v>435</v>
      </c>
      <c r="B15" s="7" t="s">
        <v>440</v>
      </c>
      <c r="C15" s="7" t="s">
        <v>432</v>
      </c>
      <c r="D15" s="7" t="s">
        <v>438</v>
      </c>
      <c r="E15" s="7" t="s">
        <v>426</v>
      </c>
      <c r="F15" s="27">
        <v>700</v>
      </c>
      <c r="G15" s="28">
        <v>2300</v>
      </c>
      <c r="H15" s="28">
        <v>2150</v>
      </c>
      <c r="I15" s="29">
        <f t="shared" si="0"/>
        <v>0</v>
      </c>
      <c r="J15" s="30">
        <f t="shared" si="1"/>
        <v>2365</v>
      </c>
      <c r="K15" s="30">
        <f t="shared" si="2"/>
        <v>2300</v>
      </c>
      <c r="L15" s="30">
        <f t="shared" si="3"/>
        <v>27600</v>
      </c>
      <c r="M15" s="30">
        <f t="shared" si="4"/>
        <v>28380</v>
      </c>
      <c r="N15" s="31">
        <f t="shared" si="5"/>
        <v>6.9767441860465018E-2</v>
      </c>
    </row>
    <row r="16" spans="1:14" x14ac:dyDescent="0.25">
      <c r="A16" s="7" t="s">
        <v>435</v>
      </c>
      <c r="B16" s="7" t="s">
        <v>441</v>
      </c>
      <c r="C16" s="7" t="s">
        <v>432</v>
      </c>
      <c r="D16" s="7" t="s">
        <v>425</v>
      </c>
      <c r="E16" s="7" t="s">
        <v>426</v>
      </c>
      <c r="F16" s="27">
        <v>575</v>
      </c>
      <c r="G16" s="28">
        <v>2200</v>
      </c>
      <c r="H16" s="28">
        <v>1775</v>
      </c>
      <c r="I16" s="29">
        <f t="shared" si="0"/>
        <v>1</v>
      </c>
      <c r="J16" s="30">
        <f t="shared" si="1"/>
        <v>1952.5000000000002</v>
      </c>
      <c r="K16" s="30">
        <f t="shared" si="2"/>
        <v>2200</v>
      </c>
      <c r="L16" s="30">
        <f t="shared" si="3"/>
        <v>26400</v>
      </c>
      <c r="M16" s="30">
        <f t="shared" si="4"/>
        <v>23430.000000000004</v>
      </c>
      <c r="N16" s="31">
        <f t="shared" si="5"/>
        <v>0.23943661971830976</v>
      </c>
    </row>
    <row r="17" spans="1:14" x14ac:dyDescent="0.25">
      <c r="A17" s="7" t="s">
        <v>442</v>
      </c>
      <c r="B17" s="7" t="s">
        <v>443</v>
      </c>
      <c r="C17" s="7" t="s">
        <v>424</v>
      </c>
      <c r="D17" s="7" t="s">
        <v>438</v>
      </c>
      <c r="E17" s="7" t="s">
        <v>426</v>
      </c>
      <c r="F17" s="27">
        <v>725</v>
      </c>
      <c r="G17" s="28">
        <v>2300</v>
      </c>
      <c r="H17" s="28">
        <v>2150</v>
      </c>
      <c r="I17" s="29">
        <f t="shared" si="0"/>
        <v>0</v>
      </c>
      <c r="J17" s="30">
        <f t="shared" si="1"/>
        <v>2365</v>
      </c>
      <c r="K17" s="30">
        <f t="shared" si="2"/>
        <v>2300</v>
      </c>
      <c r="L17" s="30">
        <f t="shared" si="3"/>
        <v>27600</v>
      </c>
      <c r="M17" s="30">
        <f t="shared" si="4"/>
        <v>28380</v>
      </c>
      <c r="N17" s="31">
        <f t="shared" si="5"/>
        <v>6.9767441860465018E-2</v>
      </c>
    </row>
    <row r="18" spans="1:14" x14ac:dyDescent="0.25">
      <c r="A18" s="7" t="s">
        <v>442</v>
      </c>
      <c r="B18" s="7" t="s">
        <v>427</v>
      </c>
      <c r="C18" s="7" t="s">
        <v>424</v>
      </c>
      <c r="D18" s="7" t="s">
        <v>425</v>
      </c>
      <c r="E18" s="7" t="s">
        <v>426</v>
      </c>
      <c r="F18" s="27">
        <v>575</v>
      </c>
      <c r="G18" s="28">
        <v>2150</v>
      </c>
      <c r="H18" s="28">
        <v>1725</v>
      </c>
      <c r="I18" s="29">
        <f t="shared" si="0"/>
        <v>1</v>
      </c>
      <c r="J18" s="30">
        <f t="shared" si="1"/>
        <v>1897.5000000000002</v>
      </c>
      <c r="K18" s="30">
        <f t="shared" si="2"/>
        <v>2150</v>
      </c>
      <c r="L18" s="30">
        <f t="shared" si="3"/>
        <v>25800</v>
      </c>
      <c r="M18" s="30">
        <f t="shared" si="4"/>
        <v>22770.000000000004</v>
      </c>
      <c r="N18" s="31">
        <f t="shared" si="5"/>
        <v>0.24637681159420288</v>
      </c>
    </row>
    <row r="19" spans="1:14" x14ac:dyDescent="0.25">
      <c r="A19" s="7" t="s">
        <v>442</v>
      </c>
      <c r="B19" s="7" t="s">
        <v>428</v>
      </c>
      <c r="C19" s="7" t="s">
        <v>429</v>
      </c>
      <c r="D19" s="7" t="s">
        <v>438</v>
      </c>
      <c r="E19" s="7" t="s">
        <v>426</v>
      </c>
      <c r="F19" s="27">
        <v>725</v>
      </c>
      <c r="G19" s="28">
        <v>2300</v>
      </c>
      <c r="H19" s="28">
        <v>2150</v>
      </c>
      <c r="I19" s="29">
        <f t="shared" si="0"/>
        <v>0</v>
      </c>
      <c r="J19" s="30">
        <f t="shared" si="1"/>
        <v>2365</v>
      </c>
      <c r="K19" s="30">
        <f t="shared" si="2"/>
        <v>2300</v>
      </c>
      <c r="L19" s="30">
        <f t="shared" si="3"/>
        <v>27600</v>
      </c>
      <c r="M19" s="30">
        <f t="shared" si="4"/>
        <v>28380</v>
      </c>
      <c r="N19" s="31">
        <f t="shared" si="5"/>
        <v>6.9767441860465018E-2</v>
      </c>
    </row>
    <row r="20" spans="1:14" x14ac:dyDescent="0.25">
      <c r="A20" s="7" t="s">
        <v>442</v>
      </c>
      <c r="B20" s="7" t="s">
        <v>430</v>
      </c>
      <c r="C20" s="7" t="s">
        <v>429</v>
      </c>
      <c r="D20" s="7" t="s">
        <v>436</v>
      </c>
      <c r="E20" s="7" t="s">
        <v>426</v>
      </c>
      <c r="F20" s="27">
        <v>600</v>
      </c>
      <c r="G20" s="28">
        <v>2200</v>
      </c>
      <c r="H20" s="28">
        <v>1825</v>
      </c>
      <c r="I20" s="29">
        <f t="shared" si="0"/>
        <v>1</v>
      </c>
      <c r="J20" s="30">
        <f t="shared" si="1"/>
        <v>2007.5000000000002</v>
      </c>
      <c r="K20" s="30">
        <f t="shared" si="2"/>
        <v>2200</v>
      </c>
      <c r="L20" s="30">
        <f t="shared" si="3"/>
        <v>26400</v>
      </c>
      <c r="M20" s="30">
        <f t="shared" si="4"/>
        <v>24090.000000000004</v>
      </c>
      <c r="N20" s="31">
        <f t="shared" si="5"/>
        <v>0.20547945205479445</v>
      </c>
    </row>
    <row r="21" spans="1:14" x14ac:dyDescent="0.25">
      <c r="A21" s="7" t="s">
        <v>442</v>
      </c>
      <c r="B21" s="7" t="s">
        <v>444</v>
      </c>
      <c r="C21" s="7" t="s">
        <v>432</v>
      </c>
      <c r="D21" s="7" t="s">
        <v>438</v>
      </c>
      <c r="E21" s="7" t="s">
        <v>426</v>
      </c>
      <c r="F21" s="27">
        <v>700</v>
      </c>
      <c r="G21" s="28">
        <v>2250</v>
      </c>
      <c r="H21" s="28">
        <v>2100</v>
      </c>
      <c r="I21" s="29">
        <f t="shared" si="0"/>
        <v>0</v>
      </c>
      <c r="J21" s="30">
        <f t="shared" si="1"/>
        <v>2310</v>
      </c>
      <c r="K21" s="30">
        <f t="shared" si="2"/>
        <v>2250</v>
      </c>
      <c r="L21" s="30">
        <f t="shared" si="3"/>
        <v>27000</v>
      </c>
      <c r="M21" s="30">
        <f t="shared" si="4"/>
        <v>27720</v>
      </c>
      <c r="N21" s="31">
        <f t="shared" si="5"/>
        <v>7.1428571428571397E-2</v>
      </c>
    </row>
    <row r="22" spans="1:14" x14ac:dyDescent="0.25">
      <c r="A22" s="7" t="s">
        <v>442</v>
      </c>
      <c r="B22" s="7" t="s">
        <v>445</v>
      </c>
      <c r="C22" s="7" t="s">
        <v>432</v>
      </c>
      <c r="D22" s="7" t="s">
        <v>425</v>
      </c>
      <c r="E22" s="7" t="s">
        <v>426</v>
      </c>
      <c r="F22" s="27">
        <v>575</v>
      </c>
      <c r="G22" s="28">
        <v>2150</v>
      </c>
      <c r="H22" s="28">
        <v>1775</v>
      </c>
      <c r="I22" s="29">
        <f t="shared" si="0"/>
        <v>1</v>
      </c>
      <c r="J22" s="30">
        <f t="shared" si="1"/>
        <v>1952.5000000000002</v>
      </c>
      <c r="K22" s="30">
        <f t="shared" si="2"/>
        <v>2150</v>
      </c>
      <c r="L22" s="30">
        <f t="shared" si="3"/>
        <v>25800</v>
      </c>
      <c r="M22" s="30">
        <f t="shared" si="4"/>
        <v>23430.000000000004</v>
      </c>
      <c r="N22" s="31">
        <f t="shared" si="5"/>
        <v>0.21126760563380276</v>
      </c>
    </row>
    <row r="23" spans="1:14" x14ac:dyDescent="0.25">
      <c r="A23" s="7" t="s">
        <v>422</v>
      </c>
      <c r="B23" s="7" t="s">
        <v>446</v>
      </c>
      <c r="C23" s="7" t="s">
        <v>447</v>
      </c>
      <c r="D23" s="7" t="s">
        <v>448</v>
      </c>
      <c r="E23" s="7" t="s">
        <v>449</v>
      </c>
      <c r="F23" s="27">
        <v>1200</v>
      </c>
      <c r="G23" s="28">
        <v>3500</v>
      </c>
      <c r="H23" s="28">
        <v>2600</v>
      </c>
      <c r="I23" s="29">
        <f t="shared" si="0"/>
        <v>0</v>
      </c>
      <c r="J23" s="30">
        <f t="shared" si="1"/>
        <v>2600</v>
      </c>
      <c r="K23" s="30">
        <f t="shared" si="2"/>
        <v>3500</v>
      </c>
      <c r="L23" s="30">
        <f t="shared" si="3"/>
        <v>42000</v>
      </c>
      <c r="M23" s="30">
        <f t="shared" si="4"/>
        <v>31200</v>
      </c>
      <c r="N23" s="31">
        <f t="shared" si="5"/>
        <v>0.34615384615384626</v>
      </c>
    </row>
    <row r="24" spans="1:14" x14ac:dyDescent="0.25">
      <c r="A24" s="7" t="s">
        <v>422</v>
      </c>
      <c r="B24" s="7" t="s">
        <v>450</v>
      </c>
      <c r="C24" s="7" t="s">
        <v>451</v>
      </c>
      <c r="D24" s="7" t="s">
        <v>452</v>
      </c>
      <c r="E24" s="7" t="s">
        <v>449</v>
      </c>
      <c r="F24" s="27">
        <v>1080</v>
      </c>
      <c r="G24" s="28">
        <v>3200</v>
      </c>
      <c r="H24" s="28">
        <v>1980</v>
      </c>
      <c r="I24" s="29">
        <f t="shared" si="0"/>
        <v>0</v>
      </c>
      <c r="J24" s="30">
        <f t="shared" si="1"/>
        <v>1980</v>
      </c>
      <c r="K24" s="30">
        <f t="shared" si="2"/>
        <v>3200</v>
      </c>
      <c r="L24" s="30">
        <f t="shared" si="3"/>
        <v>38400</v>
      </c>
      <c r="M24" s="30">
        <f t="shared" si="4"/>
        <v>23760</v>
      </c>
      <c r="N24" s="31">
        <f t="shared" si="5"/>
        <v>0.61616161616161613</v>
      </c>
    </row>
    <row r="25" spans="1:14" x14ac:dyDescent="0.25">
      <c r="A25" s="7" t="s">
        <v>435</v>
      </c>
      <c r="B25" s="7" t="s">
        <v>453</v>
      </c>
      <c r="C25" s="7" t="s">
        <v>454</v>
      </c>
      <c r="D25" s="7" t="s">
        <v>455</v>
      </c>
      <c r="E25" s="7" t="s">
        <v>449</v>
      </c>
      <c r="F25" s="27">
        <v>2400</v>
      </c>
      <c r="G25" s="28">
        <v>3800</v>
      </c>
      <c r="H25" s="28">
        <v>4400</v>
      </c>
      <c r="I25" s="29">
        <f t="shared" si="0"/>
        <v>0</v>
      </c>
      <c r="J25" s="30">
        <f t="shared" si="1"/>
        <v>4400</v>
      </c>
      <c r="K25" s="30">
        <f t="shared" si="2"/>
        <v>3800</v>
      </c>
      <c r="L25" s="30">
        <f t="shared" si="3"/>
        <v>45600</v>
      </c>
      <c r="M25" s="30">
        <f t="shared" si="4"/>
        <v>52800</v>
      </c>
      <c r="N25" s="31">
        <f t="shared" si="5"/>
        <v>-0.13636363636363635</v>
      </c>
    </row>
    <row r="26" spans="1:14" x14ac:dyDescent="0.25">
      <c r="A26" s="7" t="s">
        <v>442</v>
      </c>
      <c r="B26" s="7" t="s">
        <v>456</v>
      </c>
      <c r="C26" s="7" t="s">
        <v>447</v>
      </c>
      <c r="D26" s="7" t="s">
        <v>457</v>
      </c>
      <c r="E26" s="7" t="s">
        <v>449</v>
      </c>
      <c r="F26" s="27">
        <v>1350</v>
      </c>
      <c r="G26" s="28">
        <v>3500</v>
      </c>
      <c r="H26" s="28">
        <v>2925</v>
      </c>
      <c r="I26" s="29">
        <f t="shared" si="0"/>
        <v>0</v>
      </c>
      <c r="J26" s="30">
        <f t="shared" si="1"/>
        <v>2925</v>
      </c>
      <c r="K26" s="30">
        <f t="shared" si="2"/>
        <v>3500</v>
      </c>
      <c r="L26" s="30">
        <f t="shared" si="3"/>
        <v>42000</v>
      </c>
      <c r="M26" s="30">
        <f t="shared" si="4"/>
        <v>35100</v>
      </c>
      <c r="N26" s="31">
        <f t="shared" si="5"/>
        <v>0.19658119658119655</v>
      </c>
    </row>
    <row r="27" spans="1:14" x14ac:dyDescent="0.25">
      <c r="B27" s="32" t="s">
        <v>458</v>
      </c>
      <c r="F27" s="33">
        <f>SUM(F5:F26)</f>
        <v>16420</v>
      </c>
      <c r="G27" s="34">
        <f>AVERAGEIFS(G5:G26,E5:E26,"Residential")</f>
        <v>2119.4444444444443</v>
      </c>
      <c r="H27" s="34">
        <f>AVERAGEIFS(H5:H26,E5:E26,"Residential")</f>
        <v>1790.2777777777778</v>
      </c>
      <c r="I27" s="35">
        <f>SUM(I5:I26)</f>
        <v>9</v>
      </c>
      <c r="J27" s="34">
        <f>AVERAGEIFS(J5:J26,E5:E26,"Residential")</f>
        <v>1969.3055555555557</v>
      </c>
      <c r="L27" s="34">
        <f>SUM(L5:L26)</f>
        <v>625800</v>
      </c>
      <c r="M27" s="34">
        <f>SUM(M5:M26)</f>
        <v>568230</v>
      </c>
    </row>
    <row r="28" spans="1:14" x14ac:dyDescent="0.25">
      <c r="B28" s="2" t="s">
        <v>459</v>
      </c>
      <c r="G28" s="30">
        <f>AVERAGEIFS(G5:G26,E5:E26,"Commercial")</f>
        <v>3500</v>
      </c>
    </row>
    <row r="30" spans="1:14" x14ac:dyDescent="0.25">
      <c r="B30" s="2" t="s">
        <v>460</v>
      </c>
    </row>
    <row r="31" spans="1:14" x14ac:dyDescent="0.25">
      <c r="B31" s="2" t="s">
        <v>461</v>
      </c>
    </row>
  </sheetData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8" customWidth="1"/>
    <col min="2" max="2" width="4" customWidth="1"/>
    <col min="3" max="6" width="15" customWidth="1"/>
  </cols>
  <sheetData>
    <row r="1" spans="1:6" ht="20.25" x14ac:dyDescent="0.3">
      <c r="A1" s="1" t="s">
        <v>462</v>
      </c>
    </row>
    <row r="2" spans="1:6" x14ac:dyDescent="0.25">
      <c r="A2" s="2" t="s">
        <v>463</v>
      </c>
    </row>
    <row r="4" spans="1:6" ht="27.95" customHeight="1" x14ac:dyDescent="0.25">
      <c r="A4" s="11"/>
      <c r="B4" s="12"/>
      <c r="C4" s="12" t="s">
        <v>422</v>
      </c>
      <c r="D4" s="12" t="s">
        <v>435</v>
      </c>
      <c r="E4" s="12" t="s">
        <v>442</v>
      </c>
      <c r="F4" s="12" t="s">
        <v>464</v>
      </c>
    </row>
    <row r="5" spans="1:6" x14ac:dyDescent="0.25">
      <c r="A5" s="5" t="s">
        <v>465</v>
      </c>
      <c r="B5" s="6"/>
      <c r="C5" s="6"/>
      <c r="D5" s="6"/>
      <c r="E5" s="6"/>
      <c r="F5" s="6"/>
    </row>
    <row r="6" spans="1:6" x14ac:dyDescent="0.25">
      <c r="A6" s="8" t="s">
        <v>466</v>
      </c>
      <c r="C6" s="36">
        <f>COUNTIFS(Rent_Roll!$A$5:$A$26,C$4,Rent_Roll!$E$5:$E$26,"Residential")</f>
        <v>6</v>
      </c>
      <c r="D6" s="36">
        <f>COUNTIFS(Rent_Roll!$A$5:$A$26,D$4,Rent_Roll!$E$5:$E$26,"Residential")</f>
        <v>6</v>
      </c>
      <c r="E6" s="36">
        <f>COUNTIFS(Rent_Roll!$A$5:$A$26,E$4,Rent_Roll!$E$5:$E$26,"Residential")</f>
        <v>6</v>
      </c>
      <c r="F6" s="36">
        <f>SUM(C6:E6)</f>
        <v>18</v>
      </c>
    </row>
    <row r="7" spans="1:6" x14ac:dyDescent="0.25">
      <c r="A7" s="8" t="s">
        <v>467</v>
      </c>
      <c r="C7" s="36">
        <f>COUNTIFS(Rent_Roll!$A$5:$A$26,C$4,Rent_Roll!$E$5:$E$26,"Commercial")</f>
        <v>2</v>
      </c>
      <c r="D7" s="36">
        <f>COUNTIFS(Rent_Roll!$A$5:$A$26,D$4,Rent_Roll!$E$5:$E$26,"Commercial")</f>
        <v>1</v>
      </c>
      <c r="E7" s="36">
        <f>COUNTIFS(Rent_Roll!$A$5:$A$26,E$4,Rent_Roll!$E$5:$E$26,"Commercial")</f>
        <v>1</v>
      </c>
      <c r="F7" s="36">
        <f>SUM(C7:E7)</f>
        <v>4</v>
      </c>
    </row>
    <row r="8" spans="1:6" x14ac:dyDescent="0.25">
      <c r="A8" s="8" t="s">
        <v>468</v>
      </c>
      <c r="C8" s="36">
        <f>SUMIFS(Rent_Roll!$I$5:$I$26,Rent_Roll!$A$5:$A$26,C$4)</f>
        <v>3</v>
      </c>
      <c r="D8" s="36">
        <f>SUMIFS(Rent_Roll!$I$5:$I$26,Rent_Roll!$A$5:$A$26,D$4)</f>
        <v>3</v>
      </c>
      <c r="E8" s="36">
        <f>SUMIFS(Rent_Roll!$I$5:$I$26,Rent_Roll!$A$5:$A$26,E$4)</f>
        <v>3</v>
      </c>
      <c r="F8" s="36">
        <f>SUM(C8:E8)</f>
        <v>9</v>
      </c>
    </row>
    <row r="9" spans="1:6" x14ac:dyDescent="0.25">
      <c r="A9" s="8" t="s">
        <v>469</v>
      </c>
      <c r="C9" s="36">
        <f>SUMIFS(Rent_Roll!$F$5:$F$26,Rent_Roll!$A$5:$A$26,C$4,Rent_Roll!$E$5:$E$26,"Residential")</f>
        <v>2740</v>
      </c>
      <c r="D9" s="36">
        <f>SUMIFS(Rent_Roll!$F$5:$F$26,Rent_Roll!$A$5:$A$26,D$4,Rent_Roll!$E$5:$E$26,"Residential")</f>
        <v>3750</v>
      </c>
      <c r="E9" s="36">
        <f>SUMIFS(Rent_Roll!$F$5:$F$26,Rent_Roll!$A$5:$A$26,E$4,Rent_Roll!$E$5:$E$26,"Residential")</f>
        <v>3900</v>
      </c>
      <c r="F9" s="36">
        <f>SUM(C9:E9)</f>
        <v>10390</v>
      </c>
    </row>
    <row r="10" spans="1:6" x14ac:dyDescent="0.25">
      <c r="A10" s="5" t="s">
        <v>470</v>
      </c>
      <c r="B10" s="6"/>
      <c r="C10" s="6"/>
      <c r="D10" s="6"/>
      <c r="E10" s="6"/>
      <c r="F10" s="6"/>
    </row>
    <row r="11" spans="1:6" x14ac:dyDescent="0.25">
      <c r="A11" s="8" t="s">
        <v>471</v>
      </c>
      <c r="C11" s="30">
        <f>SUMIFS(Rent_Roll!$L$5:$L$26,Rent_Roll!$A$5:$A$26,C$4,Rent_Roll!$E$5:$E$26,"Residential")</f>
        <v>141000</v>
      </c>
      <c r="D11" s="30">
        <f>SUMIFS(Rent_Roll!$L$5:$L$26,Rent_Roll!$A$5:$A$26,D$4,Rent_Roll!$E$5:$E$26,"Residential")</f>
        <v>156600</v>
      </c>
      <c r="E11" s="30">
        <f>SUMIFS(Rent_Roll!$L$5:$L$26,Rent_Roll!$A$5:$A$26,E$4,Rent_Roll!$E$5:$E$26,"Residential")</f>
        <v>160200</v>
      </c>
      <c r="F11" s="30">
        <f t="shared" ref="F11:F16" si="0">SUM(C11:E11)</f>
        <v>457800</v>
      </c>
    </row>
    <row r="12" spans="1:6" x14ac:dyDescent="0.25">
      <c r="A12" s="8" t="s">
        <v>472</v>
      </c>
      <c r="C12" s="30">
        <f>SUMIFS(Rent_Roll!$L$5:$L$26,Rent_Roll!$A$5:$A$26,C$4,Rent_Roll!$E$5:$E$26,"Commercial")</f>
        <v>80400</v>
      </c>
      <c r="D12" s="30">
        <f>SUMIFS(Rent_Roll!$L$5:$L$26,Rent_Roll!$A$5:$A$26,D$4,Rent_Roll!$E$5:$E$26,"Commercial")</f>
        <v>45600</v>
      </c>
      <c r="E12" s="30">
        <f>SUMIFS(Rent_Roll!$L$5:$L$26,Rent_Roll!$A$5:$A$26,E$4,Rent_Roll!$E$5:$E$26,"Commercial")</f>
        <v>42000</v>
      </c>
      <c r="F12" s="30">
        <f t="shared" si="0"/>
        <v>168000</v>
      </c>
    </row>
    <row r="13" spans="1:6" x14ac:dyDescent="0.25">
      <c r="A13" s="8" t="s">
        <v>473</v>
      </c>
      <c r="C13" s="30">
        <f>C6*other_income_unit*12</f>
        <v>2520</v>
      </c>
      <c r="D13" s="30">
        <f>D6*other_income_unit*12</f>
        <v>2520</v>
      </c>
      <c r="E13" s="30">
        <f>E6*other_income_unit*12</f>
        <v>2520</v>
      </c>
      <c r="F13" s="30">
        <f t="shared" si="0"/>
        <v>7560</v>
      </c>
    </row>
    <row r="14" spans="1:6" x14ac:dyDescent="0.25">
      <c r="A14" s="8" t="s">
        <v>474</v>
      </c>
      <c r="C14" s="30">
        <f>-C11*(vac_res+loss_res)</f>
        <v>-11280</v>
      </c>
      <c r="D14" s="30">
        <f>-D11*(vac_res+loss_res)</f>
        <v>-12528</v>
      </c>
      <c r="E14" s="30">
        <f>-E11*(vac_res+loss_res)</f>
        <v>-12816</v>
      </c>
      <c r="F14" s="30">
        <f t="shared" si="0"/>
        <v>-36624</v>
      </c>
    </row>
    <row r="15" spans="1:6" x14ac:dyDescent="0.25">
      <c r="A15" s="8" t="s">
        <v>475</v>
      </c>
      <c r="C15" s="30">
        <f>-C12*(vac_com+loss_com)</f>
        <v>-8040</v>
      </c>
      <c r="D15" s="30">
        <f>-D12*(vac_com+loss_com)</f>
        <v>-4560</v>
      </c>
      <c r="E15" s="30">
        <f>-E12*(vac_com+loss_com)</f>
        <v>-4200</v>
      </c>
      <c r="F15" s="30">
        <f t="shared" si="0"/>
        <v>-16800</v>
      </c>
    </row>
    <row r="16" spans="1:6" x14ac:dyDescent="0.25">
      <c r="A16" s="32" t="s">
        <v>476</v>
      </c>
      <c r="C16" s="34">
        <f>SUM(C11:C15)</f>
        <v>204600</v>
      </c>
      <c r="D16" s="34">
        <f>SUM(D11:D15)</f>
        <v>187632</v>
      </c>
      <c r="E16" s="34">
        <f>SUM(E11:E15)</f>
        <v>187704</v>
      </c>
      <c r="F16" s="34">
        <f t="shared" si="0"/>
        <v>579936</v>
      </c>
    </row>
    <row r="17" spans="1:6" x14ac:dyDescent="0.25">
      <c r="A17" s="5" t="s">
        <v>477</v>
      </c>
      <c r="B17" s="6"/>
      <c r="C17" s="6"/>
      <c r="D17" s="6"/>
      <c r="E17" s="6"/>
      <c r="F17" s="6"/>
    </row>
    <row r="18" spans="1:6" x14ac:dyDescent="0.25">
      <c r="A18" s="8" t="s">
        <v>478</v>
      </c>
      <c r="C18" s="30">
        <f>C16*mgmt_pct</f>
        <v>10230</v>
      </c>
      <c r="D18" s="30">
        <f>D16*mgmt_pct</f>
        <v>9381.6</v>
      </c>
      <c r="E18" s="30">
        <f>E16*mgmt_pct</f>
        <v>9385.2000000000007</v>
      </c>
      <c r="F18" s="30">
        <f t="shared" ref="F18:F33" si="1">SUM(C18:E18)</f>
        <v>28996.799999999999</v>
      </c>
    </row>
    <row r="19" spans="1:6" x14ac:dyDescent="0.25">
      <c r="A19" s="8" t="s">
        <v>479</v>
      </c>
      <c r="C19" s="30">
        <f>C6*ins_unit+C7*ins_com</f>
        <v>7800</v>
      </c>
      <c r="D19" s="30">
        <f>D6*ins_unit+D7*ins_com</f>
        <v>6600</v>
      </c>
      <c r="E19" s="30">
        <f>E6*ins_unit+E7*ins_com</f>
        <v>6600</v>
      </c>
      <c r="F19" s="30">
        <f t="shared" si="1"/>
        <v>21000</v>
      </c>
    </row>
    <row r="20" spans="1:6" x14ac:dyDescent="0.25">
      <c r="A20" s="8" t="s">
        <v>480</v>
      </c>
      <c r="C20" s="30">
        <f>(C6+C7)*rm_unit</f>
        <v>5200</v>
      </c>
      <c r="D20" s="30">
        <f>(D6+D7)*rm_unit</f>
        <v>4550</v>
      </c>
      <c r="E20" s="30">
        <f>(E6+E7)*rm_unit</f>
        <v>4550</v>
      </c>
      <c r="F20" s="30">
        <f t="shared" si="1"/>
        <v>14300</v>
      </c>
    </row>
    <row r="21" spans="1:6" x14ac:dyDescent="0.25">
      <c r="A21" s="8" t="s">
        <v>481</v>
      </c>
      <c r="C21" s="30">
        <f>C6*turn_unit</f>
        <v>2700</v>
      </c>
      <c r="D21" s="30">
        <f>D6*turn_unit</f>
        <v>2700</v>
      </c>
      <c r="E21" s="30">
        <f>E6*turn_unit</f>
        <v>2700</v>
      </c>
      <c r="F21" s="30">
        <f t="shared" si="1"/>
        <v>8100</v>
      </c>
    </row>
    <row r="22" spans="1:6" x14ac:dyDescent="0.25">
      <c r="A22" s="8" t="s">
        <v>482</v>
      </c>
      <c r="C22" s="30">
        <f>C6*ffe_reserve_unit</f>
        <v>4500</v>
      </c>
      <c r="D22" s="30">
        <f>D6*ffe_reserve_unit</f>
        <v>4500</v>
      </c>
      <c r="E22" s="30">
        <f>E6*ffe_reserve_unit</f>
        <v>4500</v>
      </c>
      <c r="F22" s="30">
        <f t="shared" si="1"/>
        <v>13500</v>
      </c>
    </row>
    <row r="23" spans="1:6" x14ac:dyDescent="0.25">
      <c r="A23" s="8" t="s">
        <v>483</v>
      </c>
      <c r="C23" s="30">
        <f>C6*resident_services_unit</f>
        <v>5400</v>
      </c>
      <c r="D23" s="30">
        <f>D6*resident_services_unit</f>
        <v>5400</v>
      </c>
      <c r="E23" s="30">
        <f>E6*resident_services_unit</f>
        <v>5400</v>
      </c>
      <c r="F23" s="30">
        <f t="shared" si="1"/>
        <v>16200</v>
      </c>
    </row>
    <row r="24" spans="1:6" x14ac:dyDescent="0.25">
      <c r="A24" s="8" t="s">
        <v>484</v>
      </c>
      <c r="C24" s="30">
        <f>util_bldg</f>
        <v>4200</v>
      </c>
      <c r="D24" s="30">
        <f>util_bldg</f>
        <v>4200</v>
      </c>
      <c r="E24" s="30">
        <f>util_bldg</f>
        <v>4200</v>
      </c>
      <c r="F24" s="30">
        <f t="shared" si="1"/>
        <v>12600</v>
      </c>
    </row>
    <row r="25" spans="1:6" x14ac:dyDescent="0.25">
      <c r="A25" s="8" t="s">
        <v>485</v>
      </c>
      <c r="C25" s="30">
        <f>C6*water_unit</f>
        <v>3240</v>
      </c>
      <c r="D25" s="30">
        <f>D6*water_unit</f>
        <v>3240</v>
      </c>
      <c r="E25" s="30">
        <f>E6*water_unit</f>
        <v>3240</v>
      </c>
      <c r="F25" s="30">
        <f t="shared" si="1"/>
        <v>9720</v>
      </c>
    </row>
    <row r="26" spans="1:6" x14ac:dyDescent="0.25">
      <c r="A26" s="8" t="s">
        <v>486</v>
      </c>
      <c r="C26" s="30">
        <f>trash_bldg</f>
        <v>2400</v>
      </c>
      <c r="D26" s="30">
        <f>trash_bldg</f>
        <v>2400</v>
      </c>
      <c r="E26" s="30">
        <f>trash_bldg</f>
        <v>2400</v>
      </c>
      <c r="F26" s="30">
        <f t="shared" si="1"/>
        <v>7200</v>
      </c>
    </row>
    <row r="27" spans="1:6" x14ac:dyDescent="0.25">
      <c r="A27" s="8" t="s">
        <v>487</v>
      </c>
      <c r="C27" s="30">
        <f>fire_bldg</f>
        <v>2600</v>
      </c>
      <c r="D27" s="30">
        <f>fire_bldg</f>
        <v>2600</v>
      </c>
      <c r="E27" s="30">
        <f>fire_bldg</f>
        <v>2600</v>
      </c>
      <c r="F27" s="30">
        <f t="shared" si="1"/>
        <v>7800</v>
      </c>
    </row>
    <row r="28" spans="1:6" x14ac:dyDescent="0.25">
      <c r="A28" s="8" t="s">
        <v>488</v>
      </c>
      <c r="C28" s="30">
        <f>security_bldg</f>
        <v>1500</v>
      </c>
      <c r="D28" s="30">
        <f>security_bldg</f>
        <v>1500</v>
      </c>
      <c r="E28" s="30">
        <f>security_bldg</f>
        <v>1500</v>
      </c>
      <c r="F28" s="30">
        <f t="shared" si="1"/>
        <v>4500</v>
      </c>
    </row>
    <row r="29" spans="1:6" x14ac:dyDescent="0.25">
      <c r="A29" s="8" t="s">
        <v>489</v>
      </c>
      <c r="C29" s="30">
        <f>C6*admin_unit</f>
        <v>1800</v>
      </c>
      <c r="D29" s="30">
        <f>D6*admin_unit</f>
        <v>1800</v>
      </c>
      <c r="E29" s="30">
        <f>E6*admin_unit</f>
        <v>1800</v>
      </c>
      <c r="F29" s="30">
        <f t="shared" si="1"/>
        <v>5400</v>
      </c>
    </row>
    <row r="30" spans="1:6" x14ac:dyDescent="0.25">
      <c r="A30" s="8" t="s">
        <v>490</v>
      </c>
      <c r="C30" s="30">
        <f>sbd_bldg</f>
        <v>350</v>
      </c>
      <c r="D30" s="30">
        <f>sbd_bldg</f>
        <v>350</v>
      </c>
      <c r="E30" s="30">
        <f>sbd_bldg</f>
        <v>350</v>
      </c>
      <c r="F30" s="30">
        <f t="shared" si="1"/>
        <v>1050</v>
      </c>
    </row>
    <row r="31" spans="1:6" x14ac:dyDescent="0.25">
      <c r="A31" s="8" t="s">
        <v>491</v>
      </c>
      <c r="C31" s="30">
        <f>(C6+C7)*reserve_unit</f>
        <v>2400</v>
      </c>
      <c r="D31" s="30">
        <f>(D6+D7)*reserve_unit</f>
        <v>2100</v>
      </c>
      <c r="E31" s="30">
        <f>(E6+E7)*reserve_unit</f>
        <v>2100</v>
      </c>
      <c r="F31" s="30">
        <f t="shared" si="1"/>
        <v>6600</v>
      </c>
    </row>
    <row r="32" spans="1:6" x14ac:dyDescent="0.25">
      <c r="A32" s="8" t="s">
        <v>492</v>
      </c>
      <c r="C32" s="30">
        <f>C8*deck_maint_unit</f>
        <v>900</v>
      </c>
      <c r="D32" s="30">
        <f>D8*deck_maint_unit</f>
        <v>900</v>
      </c>
      <c r="E32" s="30">
        <f>E8*deck_maint_unit</f>
        <v>900</v>
      </c>
      <c r="F32" s="30">
        <f t="shared" si="1"/>
        <v>2700</v>
      </c>
    </row>
    <row r="33" spans="1:6" x14ac:dyDescent="0.25">
      <c r="A33" s="32" t="s">
        <v>493</v>
      </c>
      <c r="C33" s="34">
        <f>SUM(C18:C32)</f>
        <v>55220</v>
      </c>
      <c r="D33" s="34">
        <f>SUM(D18:D32)</f>
        <v>52221.599999999999</v>
      </c>
      <c r="E33" s="34">
        <f>SUM(E18:E32)</f>
        <v>52225.2</v>
      </c>
      <c r="F33" s="34">
        <f t="shared" si="1"/>
        <v>159666.79999999999</v>
      </c>
    </row>
    <row r="34" spans="1:6" x14ac:dyDescent="0.25">
      <c r="A34" s="5" t="s">
        <v>494</v>
      </c>
      <c r="B34" s="6"/>
      <c r="C34" s="6"/>
      <c r="D34" s="6"/>
      <c r="E34" s="6"/>
      <c r="F34" s="6"/>
    </row>
    <row r="35" spans="1:6" x14ac:dyDescent="0.25">
      <c r="A35" s="8" t="s">
        <v>495</v>
      </c>
      <c r="C35" s="37">
        <f>assess_1816</f>
        <v>1200000</v>
      </c>
      <c r="D35" s="37">
        <f>assess_1818</f>
        <v>1250000</v>
      </c>
      <c r="E35" s="37">
        <f>assess_1820</f>
        <v>1250000</v>
      </c>
      <c r="F35" s="30">
        <f>SUM(C35:E35)</f>
        <v>3700000</v>
      </c>
    </row>
    <row r="36" spans="1:6" x14ac:dyDescent="0.25">
      <c r="A36" s="8" t="s">
        <v>496</v>
      </c>
      <c r="C36" s="37">
        <f>base_assess_1816</f>
        <v>230000</v>
      </c>
      <c r="D36" s="37">
        <f>base_assess_1818</f>
        <v>412600</v>
      </c>
      <c r="E36" s="37">
        <f>base_assess_1820</f>
        <v>150000</v>
      </c>
      <c r="F36" s="30">
        <f>SUM(C36:E36)</f>
        <v>792600</v>
      </c>
    </row>
    <row r="37" spans="1:6" x14ac:dyDescent="0.25">
      <c r="A37" s="8" t="s">
        <v>497</v>
      </c>
      <c r="C37" s="30">
        <f>C35*tax_rate</f>
        <v>28320</v>
      </c>
      <c r="D37" s="30">
        <f>D35*tax_rate</f>
        <v>29500</v>
      </c>
      <c r="E37" s="30">
        <f>E35*tax_rate</f>
        <v>29500</v>
      </c>
      <c r="F37" s="30">
        <f>SUM(C37:E37)</f>
        <v>87320</v>
      </c>
    </row>
    <row r="38" spans="1:6" x14ac:dyDescent="0.25">
      <c r="A38" s="8" t="s">
        <v>498</v>
      </c>
      <c r="C38" s="38">
        <f>chap_1816</f>
        <v>0</v>
      </c>
      <c r="D38" s="39">
        <v>1</v>
      </c>
      <c r="E38" s="39">
        <v>1</v>
      </c>
    </row>
    <row r="39" spans="1:6" x14ac:dyDescent="0.25">
      <c r="A39" s="8" t="s">
        <v>499</v>
      </c>
      <c r="C39" s="30">
        <f>-C38*chap_enabled*chap_pct*(C35-C36)*city_tax_rate</f>
        <v>0</v>
      </c>
      <c r="D39" s="30">
        <f>-D38*chap_enabled*chap_pct*(D35-D36)*city_tax_rate</f>
        <v>-18824.752</v>
      </c>
      <c r="E39" s="30">
        <f>-E38*chap_enabled*chap_pct*(E35-E36)*city_tax_rate</f>
        <v>-24728</v>
      </c>
      <c r="F39" s="30">
        <f>SUM(C39:E39)</f>
        <v>-43552.752</v>
      </c>
    </row>
    <row r="40" spans="1:6" x14ac:dyDescent="0.25">
      <c r="A40" s="32" t="s">
        <v>500</v>
      </c>
      <c r="C40" s="34">
        <f>C33+C37+C39</f>
        <v>83540</v>
      </c>
      <c r="D40" s="34">
        <f>D33+D37+D39</f>
        <v>62896.848000000005</v>
      </c>
      <c r="E40" s="34">
        <f>E33+E37+E39</f>
        <v>56997.2</v>
      </c>
      <c r="F40" s="34">
        <f>SUM(C40:E40)</f>
        <v>203434.04800000001</v>
      </c>
    </row>
    <row r="41" spans="1:6" x14ac:dyDescent="0.25">
      <c r="A41" s="32" t="s">
        <v>501</v>
      </c>
      <c r="C41" s="34">
        <f>C16-C40</f>
        <v>121060</v>
      </c>
      <c r="D41" s="34">
        <f>D16-D40</f>
        <v>124735.152</v>
      </c>
      <c r="E41" s="34">
        <f>E16-E40</f>
        <v>130706.8</v>
      </c>
      <c r="F41" s="34">
        <f>SUM(C41:E41)</f>
        <v>376501.95199999999</v>
      </c>
    </row>
    <row r="42" spans="1:6" x14ac:dyDescent="0.25">
      <c r="A42" s="5" t="s">
        <v>502</v>
      </c>
      <c r="B42" s="6"/>
      <c r="C42" s="6"/>
      <c r="D42" s="6"/>
      <c r="E42" s="6"/>
      <c r="F42" s="6"/>
    </row>
    <row r="43" spans="1:6" x14ac:dyDescent="0.25">
      <c r="A43" s="8" t="s">
        <v>503</v>
      </c>
      <c r="C43" s="30">
        <f>C41+C39</f>
        <v>121060</v>
      </c>
      <c r="D43" s="30">
        <f>D41+D39</f>
        <v>105910.39999999999</v>
      </c>
      <c r="E43" s="30">
        <f>E41+E39</f>
        <v>105978.8</v>
      </c>
      <c r="F43" s="30">
        <f>SUM(C43:E43)</f>
        <v>332949.2</v>
      </c>
    </row>
    <row r="44" spans="1:6" x14ac:dyDescent="0.25">
      <c r="A44" s="8" t="s">
        <v>504</v>
      </c>
      <c r="C44" s="30">
        <f>SUMIFS(Rent_Roll!$M$5:$M$26,Rent_Roll!$A$5:$A$26,C$4,Rent_Roll!$E$5:$E$26,"Residential")</f>
        <v>122430.00000000001</v>
      </c>
      <c r="D44" s="30">
        <f>SUMIFS(Rent_Roll!$M$5:$M$26,Rent_Roll!$A$5:$A$26,D$4,Rent_Roll!$E$5:$E$26,"Residential")</f>
        <v>148170</v>
      </c>
      <c r="E44" s="30">
        <f>SUMIFS(Rent_Roll!$M$5:$M$26,Rent_Roll!$A$5:$A$26,E$4,Rent_Roll!$E$5:$E$26,"Residential")</f>
        <v>154770</v>
      </c>
      <c r="F44" s="30">
        <f>SUM(C44:E44)</f>
        <v>425370</v>
      </c>
    </row>
    <row r="45" spans="1:6" x14ac:dyDescent="0.25">
      <c r="A45" s="8" t="s">
        <v>505</v>
      </c>
      <c r="C45" s="30">
        <f>SUMIFS(Rent_Roll!$M$5:$M$26,Rent_Roll!$A$5:$A$26,C$4,Rent_Roll!$E$5:$E$26,"Commercial")</f>
        <v>54960</v>
      </c>
      <c r="D45" s="30">
        <f>SUMIFS(Rent_Roll!$M$5:$M$26,Rent_Roll!$A$5:$A$26,D$4,Rent_Roll!$E$5:$E$26,"Commercial")</f>
        <v>52800</v>
      </c>
      <c r="E45" s="30">
        <f>SUMIFS(Rent_Roll!$M$5:$M$26,Rent_Roll!$A$5:$A$26,E$4,Rent_Roll!$E$5:$E$26,"Commercial")</f>
        <v>35100</v>
      </c>
      <c r="F45" s="30">
        <f>SUM(C45:E45)</f>
        <v>142860</v>
      </c>
    </row>
    <row r="46" spans="1:6" x14ac:dyDescent="0.25">
      <c r="A46" s="32" t="s">
        <v>506</v>
      </c>
      <c r="C46" s="34">
        <f>C41-((C11-C44)*(1-vac_res-loss_res)+(C12-C45)*(1-vac_com-loss_com))*(1-mgmt_pct)</f>
        <v>83078.620000000024</v>
      </c>
      <c r="D46" s="34">
        <f>D41-((D11-D44)*(1-vac_res-loss_res)+(D12-D45)*(1-vac_com-loss_com))*(1-mgmt_pct)</f>
        <v>123523.33200000001</v>
      </c>
      <c r="E46" s="34">
        <f>E41-((E11-E44)*(1-vac_res-loss_res)+(E12-E45)*(1-vac_com-loss_com))*(1-mgmt_pct)</f>
        <v>120061.48000000001</v>
      </c>
      <c r="F46" s="34">
        <f>SUM(C46:E46)</f>
        <v>326663.43200000003</v>
      </c>
    </row>
  </sheetData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0" customWidth="1"/>
    <col min="2" max="2" width="4" customWidth="1"/>
    <col min="3" max="6" width="15" customWidth="1"/>
    <col min="7" max="7" width="12" customWidth="1"/>
  </cols>
  <sheetData>
    <row r="1" spans="1:7" ht="20.25" x14ac:dyDescent="0.3">
      <c r="A1" s="1" t="s">
        <v>507</v>
      </c>
    </row>
    <row r="2" spans="1:7" x14ac:dyDescent="0.25">
      <c r="A2" s="2" t="s">
        <v>508</v>
      </c>
    </row>
    <row r="4" spans="1:7" ht="27.95" customHeight="1" x14ac:dyDescent="0.25">
      <c r="A4" s="11" t="s">
        <v>509</v>
      </c>
      <c r="B4" s="12"/>
      <c r="C4" s="12" t="s">
        <v>422</v>
      </c>
      <c r="D4" s="12" t="s">
        <v>435</v>
      </c>
      <c r="E4" s="12" t="s">
        <v>442</v>
      </c>
      <c r="F4" s="12" t="s">
        <v>464</v>
      </c>
      <c r="G4" s="12" t="s">
        <v>510</v>
      </c>
    </row>
    <row r="5" spans="1:7" x14ac:dyDescent="0.25">
      <c r="A5" s="5" t="s">
        <v>511</v>
      </c>
      <c r="B5" s="6"/>
      <c r="C5" s="6"/>
      <c r="D5" s="6"/>
      <c r="E5" s="6"/>
      <c r="F5" s="6"/>
      <c r="G5" s="6"/>
    </row>
    <row r="6" spans="1:7" x14ac:dyDescent="0.25">
      <c r="A6" s="8" t="s">
        <v>512</v>
      </c>
      <c r="C6" s="30">
        <f>hc_1816_remaining*G6</f>
        <v>125000.00000000001</v>
      </c>
      <c r="F6" s="30">
        <f>SUM(C6:E6)</f>
        <v>125000.00000000001</v>
      </c>
      <c r="G6" s="40">
        <v>0.38819875776397522</v>
      </c>
    </row>
    <row r="7" spans="1:7" x14ac:dyDescent="0.25">
      <c r="A7" s="8" t="s">
        <v>513</v>
      </c>
      <c r="C7" s="30">
        <f>hc_1816_remaining*G7</f>
        <v>152000</v>
      </c>
      <c r="F7" s="30">
        <f>SUM(C7:E7)</f>
        <v>152000</v>
      </c>
      <c r="G7" s="40">
        <v>0.47204968944099379</v>
      </c>
    </row>
    <row r="8" spans="1:7" x14ac:dyDescent="0.25">
      <c r="A8" s="8" t="s">
        <v>514</v>
      </c>
      <c r="C8" s="30">
        <f>hc_1816_remaining*G8</f>
        <v>44999.999999999978</v>
      </c>
      <c r="F8" s="30">
        <f>SUM(C8:E8)</f>
        <v>44999.999999999978</v>
      </c>
      <c r="G8" s="40">
        <v>0.13975155279503099</v>
      </c>
    </row>
    <row r="9" spans="1:7" x14ac:dyDescent="0.25">
      <c r="A9" s="5" t="s">
        <v>515</v>
      </c>
      <c r="B9" s="6"/>
      <c r="C9" s="6"/>
      <c r="D9" s="6"/>
      <c r="E9" s="6"/>
      <c r="F9" s="6"/>
      <c r="G9" s="6"/>
    </row>
    <row r="10" spans="1:7" x14ac:dyDescent="0.25">
      <c r="A10" s="2" t="s">
        <v>516</v>
      </c>
      <c r="D10" s="30">
        <f>gsf_1818_existing*hc_psf_rehab_1818</f>
        <v>703000</v>
      </c>
      <c r="E10" s="30">
        <f>gsf_1820*hc_psf_rehab_1820</f>
        <v>1354500</v>
      </c>
      <c r="F10" s="30">
        <f t="shared" ref="F10:F23" si="0">SUM(C10:E10)</f>
        <v>2057500</v>
      </c>
    </row>
    <row r="11" spans="1:7" x14ac:dyDescent="0.25">
      <c r="A11" s="8" t="s">
        <v>517</v>
      </c>
      <c r="D11" s="30">
        <f>D10*$G11</f>
        <v>35150</v>
      </c>
      <c r="E11" s="30">
        <f>E10*$G11</f>
        <v>67725</v>
      </c>
      <c r="F11" s="30">
        <f t="shared" si="0"/>
        <v>102875</v>
      </c>
      <c r="G11" s="40">
        <v>0.05</v>
      </c>
    </row>
    <row r="12" spans="1:7" x14ac:dyDescent="0.25">
      <c r="A12" s="8" t="s">
        <v>518</v>
      </c>
      <c r="D12" s="30">
        <f>D10*$G12</f>
        <v>35150</v>
      </c>
      <c r="E12" s="30">
        <f>E10*$G12</f>
        <v>67725</v>
      </c>
      <c r="F12" s="30">
        <f t="shared" si="0"/>
        <v>102875</v>
      </c>
      <c r="G12" s="40">
        <v>0.05</v>
      </c>
    </row>
    <row r="13" spans="1:7" x14ac:dyDescent="0.25">
      <c r="A13" s="8" t="s">
        <v>519</v>
      </c>
      <c r="D13" s="30">
        <f>D10*$G13</f>
        <v>84360</v>
      </c>
      <c r="E13" s="30">
        <f>E10*$G13</f>
        <v>162540</v>
      </c>
      <c r="F13" s="30">
        <f t="shared" si="0"/>
        <v>246900</v>
      </c>
      <c r="G13" s="40">
        <v>0.12</v>
      </c>
    </row>
    <row r="14" spans="1:7" x14ac:dyDescent="0.25">
      <c r="A14" s="8" t="s">
        <v>520</v>
      </c>
      <c r="D14" s="30">
        <f>D10*$G14</f>
        <v>35150</v>
      </c>
      <c r="E14" s="30">
        <f>E10*$G14</f>
        <v>67725</v>
      </c>
      <c r="F14" s="30">
        <f t="shared" si="0"/>
        <v>102875</v>
      </c>
      <c r="G14" s="40">
        <v>0.05</v>
      </c>
    </row>
    <row r="15" spans="1:7" x14ac:dyDescent="0.25">
      <c r="A15" s="8" t="s">
        <v>521</v>
      </c>
      <c r="D15" s="30">
        <f>D10*$G15</f>
        <v>28120</v>
      </c>
      <c r="E15" s="30">
        <f>E10*$G15</f>
        <v>54180</v>
      </c>
      <c r="F15" s="30">
        <f t="shared" si="0"/>
        <v>82300</v>
      </c>
      <c r="G15" s="40">
        <v>0.04</v>
      </c>
    </row>
    <row r="16" spans="1:7" x14ac:dyDescent="0.25">
      <c r="A16" s="8" t="s">
        <v>522</v>
      </c>
      <c r="D16" s="30">
        <f>D10*$G16</f>
        <v>49210.000000000007</v>
      </c>
      <c r="E16" s="30">
        <f>E10*$G16</f>
        <v>94815.000000000015</v>
      </c>
      <c r="F16" s="30">
        <f t="shared" si="0"/>
        <v>144025.00000000003</v>
      </c>
      <c r="G16" s="40">
        <v>7.0000000000000007E-2</v>
      </c>
    </row>
    <row r="17" spans="1:7" x14ac:dyDescent="0.25">
      <c r="A17" s="8" t="s">
        <v>523</v>
      </c>
      <c r="D17" s="30">
        <f>D10*$G17</f>
        <v>77330</v>
      </c>
      <c r="E17" s="30">
        <f>E10*$G17</f>
        <v>148995</v>
      </c>
      <c r="F17" s="30">
        <f t="shared" si="0"/>
        <v>226325</v>
      </c>
      <c r="G17" s="40">
        <v>0.11</v>
      </c>
    </row>
    <row r="18" spans="1:7" x14ac:dyDescent="0.25">
      <c r="A18" s="8" t="s">
        <v>524</v>
      </c>
      <c r="D18" s="30">
        <f>D10*$G18</f>
        <v>70300</v>
      </c>
      <c r="E18" s="30">
        <f>E10*$G18</f>
        <v>135450</v>
      </c>
      <c r="F18" s="30">
        <f t="shared" si="0"/>
        <v>205750</v>
      </c>
      <c r="G18" s="40">
        <v>0.1</v>
      </c>
    </row>
    <row r="19" spans="1:7" x14ac:dyDescent="0.25">
      <c r="A19" s="8" t="s">
        <v>525</v>
      </c>
      <c r="D19" s="30">
        <f>D10*$G19</f>
        <v>70300</v>
      </c>
      <c r="E19" s="30">
        <f>E10*$G19</f>
        <v>135450</v>
      </c>
      <c r="F19" s="30">
        <f t="shared" si="0"/>
        <v>205750</v>
      </c>
      <c r="G19" s="40">
        <v>0.1</v>
      </c>
    </row>
    <row r="20" spans="1:7" x14ac:dyDescent="0.25">
      <c r="A20" s="8" t="s">
        <v>526</v>
      </c>
      <c r="D20" s="30">
        <f>D10*$G20</f>
        <v>63270</v>
      </c>
      <c r="E20" s="30">
        <f>E10*$G20</f>
        <v>121905</v>
      </c>
      <c r="F20" s="30">
        <f t="shared" si="0"/>
        <v>185175</v>
      </c>
      <c r="G20" s="40">
        <v>0.09</v>
      </c>
    </row>
    <row r="21" spans="1:7" x14ac:dyDescent="0.25">
      <c r="A21" s="8" t="s">
        <v>527</v>
      </c>
      <c r="D21" s="30">
        <f>D10*$G21</f>
        <v>63270</v>
      </c>
      <c r="E21" s="30">
        <f>E10*$G21</f>
        <v>121905</v>
      </c>
      <c r="F21" s="30">
        <f t="shared" si="0"/>
        <v>185175</v>
      </c>
      <c r="G21" s="40">
        <v>0.09</v>
      </c>
    </row>
    <row r="22" spans="1:7" x14ac:dyDescent="0.25">
      <c r="A22" s="8" t="s">
        <v>528</v>
      </c>
      <c r="D22" s="30">
        <f>D10*$G22</f>
        <v>77330</v>
      </c>
      <c r="E22" s="30">
        <f>E10*$G22</f>
        <v>148995</v>
      </c>
      <c r="F22" s="30">
        <f t="shared" si="0"/>
        <v>226325</v>
      </c>
      <c r="G22" s="40">
        <v>0.11</v>
      </c>
    </row>
    <row r="23" spans="1:7" x14ac:dyDescent="0.25">
      <c r="A23" s="8" t="s">
        <v>529</v>
      </c>
      <c r="D23" s="30">
        <f>D10*$G23</f>
        <v>14060</v>
      </c>
      <c r="E23" s="30">
        <f>E10*$G23</f>
        <v>27090</v>
      </c>
      <c r="F23" s="30">
        <f t="shared" si="0"/>
        <v>41150</v>
      </c>
      <c r="G23" s="40">
        <v>0.02</v>
      </c>
    </row>
    <row r="24" spans="1:7" x14ac:dyDescent="0.25">
      <c r="A24" s="5" t="s">
        <v>530</v>
      </c>
      <c r="B24" s="6"/>
      <c r="C24" s="6"/>
      <c r="D24" s="6"/>
      <c r="E24" s="6"/>
      <c r="F24" s="6"/>
      <c r="G24" s="6"/>
    </row>
    <row r="25" spans="1:7" x14ac:dyDescent="0.25">
      <c r="A25" s="8" t="s">
        <v>531</v>
      </c>
      <c r="C25" s="30">
        <f>Operating!C9*flooring_premium_psf</f>
        <v>30140</v>
      </c>
      <c r="D25" s="30">
        <f>Operating!D9*flooring_premium_psf</f>
        <v>41250</v>
      </c>
      <c r="E25" s="30">
        <f>Operating!E9*flooring_premium_psf</f>
        <v>42900</v>
      </c>
      <c r="F25" s="30">
        <f>SUM(C25:E25)</f>
        <v>114290</v>
      </c>
    </row>
    <row r="26" spans="1:7" x14ac:dyDescent="0.25">
      <c r="A26" s="8" t="s">
        <v>532</v>
      </c>
      <c r="C26" s="30">
        <f>Operating!C6*tech_unit</f>
        <v>27000</v>
      </c>
      <c r="D26" s="30">
        <f>Operating!D6*tech_unit</f>
        <v>27000</v>
      </c>
      <c r="E26" s="30">
        <f>Operating!E6*tech_unit</f>
        <v>27000</v>
      </c>
      <c r="F26" s="30">
        <f>SUM(C26:E26)</f>
        <v>81000</v>
      </c>
    </row>
    <row r="27" spans="1:7" x14ac:dyDescent="0.25">
      <c r="A27" s="8" t="s">
        <v>533</v>
      </c>
      <c r="C27" s="30">
        <f>Operating!C8*deck_sf*deck_psf</f>
        <v>41040</v>
      </c>
      <c r="D27" s="30">
        <f>Operating!D8*deck_sf*deck_psf</f>
        <v>41040</v>
      </c>
      <c r="E27" s="30">
        <f>Operating!E8*deck_sf*deck_psf</f>
        <v>41040</v>
      </c>
      <c r="F27" s="30">
        <f>SUM(C27:E27)</f>
        <v>123120</v>
      </c>
    </row>
    <row r="28" spans="1:7" x14ac:dyDescent="0.25">
      <c r="A28" s="8" t="s">
        <v>534</v>
      </c>
      <c r="C28" s="30">
        <f>Operating!C8*outdoor_kitchen_unit</f>
        <v>19500</v>
      </c>
      <c r="D28" s="30">
        <f>Operating!D8*outdoor_kitchen_unit</f>
        <v>19500</v>
      </c>
      <c r="E28" s="30">
        <f>Operating!E8*outdoor_kitchen_unit</f>
        <v>19500</v>
      </c>
      <c r="F28" s="30">
        <f>SUM(C28:E28)</f>
        <v>58500</v>
      </c>
    </row>
    <row r="29" spans="1:7" x14ac:dyDescent="0.25">
      <c r="A29" s="5" t="s">
        <v>535</v>
      </c>
      <c r="B29" s="6"/>
      <c r="C29" s="6"/>
      <c r="D29" s="6"/>
      <c r="E29" s="6"/>
      <c r="F29" s="6"/>
      <c r="G29" s="6"/>
    </row>
    <row r="30" spans="1:7" x14ac:dyDescent="0.25">
      <c r="A30" s="8" t="s">
        <v>536</v>
      </c>
      <c r="C30" s="30">
        <v>0</v>
      </c>
      <c r="D30" s="30">
        <f>sf_addition_1818*hc_psf_addition_1818</f>
        <v>845000</v>
      </c>
      <c r="E30" s="30">
        <v>0</v>
      </c>
      <c r="F30" s="30">
        <f>SUM(C30:E30)</f>
        <v>845000</v>
      </c>
    </row>
    <row r="31" spans="1:7" x14ac:dyDescent="0.25">
      <c r="A31" s="8" t="s">
        <v>537</v>
      </c>
      <c r="D31" s="30">
        <f>facade_1818</f>
        <v>65000</v>
      </c>
      <c r="E31" s="30">
        <f>facade_1820</f>
        <v>90000</v>
      </c>
      <c r="F31" s="30">
        <f>SUM(C31:E31)</f>
        <v>155000</v>
      </c>
    </row>
    <row r="32" spans="1:7" x14ac:dyDescent="0.25">
      <c r="A32" s="8" t="s">
        <v>538</v>
      </c>
      <c r="D32" s="30">
        <f>storefront_com</f>
        <v>45000</v>
      </c>
      <c r="E32" s="30">
        <f>storefront_com</f>
        <v>45000</v>
      </c>
      <c r="F32" s="30">
        <f>SUM(C32:E32)</f>
        <v>90000</v>
      </c>
    </row>
    <row r="33" spans="1:7" x14ac:dyDescent="0.25">
      <c r="A33" s="8" t="s">
        <v>539</v>
      </c>
      <c r="D33" s="30">
        <f>sprinkler_bldg</f>
        <v>32000</v>
      </c>
      <c r="E33" s="30">
        <f>sprinkler_bldg</f>
        <v>32000</v>
      </c>
      <c r="F33" s="30">
        <f>SUM(C33:E33)</f>
        <v>64000</v>
      </c>
    </row>
    <row r="34" spans="1:7" x14ac:dyDescent="0.25">
      <c r="A34" s="8" t="s">
        <v>540</v>
      </c>
      <c r="D34" s="30">
        <f>enviro_bldg</f>
        <v>25000</v>
      </c>
      <c r="E34" s="30">
        <f>enviro_bldg</f>
        <v>25000</v>
      </c>
      <c r="F34" s="30">
        <f>SUM(C34:E34)</f>
        <v>50000</v>
      </c>
    </row>
    <row r="36" spans="1:7" x14ac:dyDescent="0.25">
      <c r="A36" s="32" t="s">
        <v>541</v>
      </c>
      <c r="C36" s="34">
        <f>SUM(C6:C8)+SUM(C11:C23)+SUM(C25:C34)</f>
        <v>439680</v>
      </c>
      <c r="D36" s="34">
        <f>SUM(D6:D8)+SUM(D11:D23)+SUM(D25:D34)</f>
        <v>1843790</v>
      </c>
      <c r="E36" s="34">
        <f>SUM(E6:E8)+SUM(E11:E23)+SUM(E25:E34)</f>
        <v>1676940</v>
      </c>
      <c r="F36" s="34">
        <f>SUM(C36:E36)</f>
        <v>3960410</v>
      </c>
    </row>
    <row r="37" spans="1:7" x14ac:dyDescent="0.25">
      <c r="A37" s="8" t="s">
        <v>542</v>
      </c>
      <c r="C37" s="30">
        <v>0</v>
      </c>
      <c r="D37" s="30">
        <f>D36*escalation_pct</f>
        <v>110627.4</v>
      </c>
      <c r="E37" s="30">
        <f>E36*escalation_pct</f>
        <v>100616.4</v>
      </c>
      <c r="F37" s="30">
        <f>SUM(C37:E37)</f>
        <v>211243.8</v>
      </c>
    </row>
    <row r="38" spans="1:7" x14ac:dyDescent="0.25">
      <c r="A38" s="8" t="s">
        <v>543</v>
      </c>
      <c r="C38" s="30">
        <v>0</v>
      </c>
      <c r="D38" s="30">
        <f>(D36+D37)*gc_fee</f>
        <v>156353.39199999999</v>
      </c>
      <c r="E38" s="30">
        <f>(E36+E37)*gc_fee</f>
        <v>142204.51199999999</v>
      </c>
      <c r="F38" s="30">
        <f>SUM(C38:E38)</f>
        <v>298557.90399999998</v>
      </c>
    </row>
    <row r="39" spans="1:7" x14ac:dyDescent="0.25">
      <c r="A39" s="8" t="s">
        <v>544</v>
      </c>
      <c r="C39" s="30">
        <f>(C36+C37+C38)*hard_contingency_1816</f>
        <v>43968</v>
      </c>
      <c r="D39" s="30">
        <f>(D36+D37+D38)*hard_contingency</f>
        <v>263846.34899999999</v>
      </c>
      <c r="E39" s="30">
        <f>(E36+E37+E38)*hard_contingency</f>
        <v>239970.114</v>
      </c>
      <c r="F39" s="30">
        <f>SUM(C39:E39)</f>
        <v>547784.46299999999</v>
      </c>
    </row>
    <row r="40" spans="1:7" x14ac:dyDescent="0.25">
      <c r="A40" s="32" t="s">
        <v>545</v>
      </c>
      <c r="C40" s="34">
        <f>C36+C37+C38+C39</f>
        <v>483648</v>
      </c>
      <c r="D40" s="34">
        <f>D36+D37+D38+D39</f>
        <v>2374617.1409999998</v>
      </c>
      <c r="E40" s="34">
        <f>E36+E37+E38+E39</f>
        <v>2159731.0260000001</v>
      </c>
      <c r="F40" s="34">
        <f>SUM(C40:E40)</f>
        <v>5017996.1669999994</v>
      </c>
    </row>
    <row r="41" spans="1:7" x14ac:dyDescent="0.25">
      <c r="A41" s="8" t="s">
        <v>546</v>
      </c>
      <c r="D41" s="30">
        <f>D40/(gsf_1818_existing+sf_addition_1818)</f>
        <v>371.03392828124998</v>
      </c>
      <c r="E41" s="30">
        <f>E40/gsf_1820</f>
        <v>342.81444857142856</v>
      </c>
      <c r="F41" s="30"/>
    </row>
    <row r="43" spans="1:7" x14ac:dyDescent="0.25">
      <c r="A43" s="5" t="s">
        <v>547</v>
      </c>
      <c r="B43" s="6"/>
      <c r="C43" s="6"/>
      <c r="D43" s="6"/>
      <c r="E43" s="6"/>
      <c r="F43" s="6"/>
      <c r="G43" s="6"/>
    </row>
    <row r="44" spans="1:7" x14ac:dyDescent="0.25">
      <c r="A44" s="8" t="s">
        <v>548</v>
      </c>
      <c r="D44" s="30">
        <f>D40*arch_eng_pct</f>
        <v>166223.19987000001</v>
      </c>
      <c r="E44" s="30">
        <f>E40*arch_eng_pct</f>
        <v>151181.17182000002</v>
      </c>
      <c r="F44" s="30">
        <f t="shared" ref="F44:F52" si="1">SUM(C44:E44)</f>
        <v>317404.37169000006</v>
      </c>
    </row>
    <row r="45" spans="1:7" x14ac:dyDescent="0.25">
      <c r="A45" s="8" t="s">
        <v>549</v>
      </c>
      <c r="D45" s="30">
        <f>D40*permits_pct</f>
        <v>35619.257114999993</v>
      </c>
      <c r="E45" s="30">
        <f>E40*permits_pct</f>
        <v>32395.965390000001</v>
      </c>
      <c r="F45" s="30">
        <f t="shared" si="1"/>
        <v>68015.222504999998</v>
      </c>
    </row>
    <row r="46" spans="1:7" x14ac:dyDescent="0.25">
      <c r="A46" s="8" t="s">
        <v>550</v>
      </c>
      <c r="D46" s="30">
        <f>D40*legal_pct</f>
        <v>23746.171409999999</v>
      </c>
      <c r="E46" s="30">
        <f>E40*legal_pct</f>
        <v>21597.310260000002</v>
      </c>
      <c r="F46" s="30">
        <f t="shared" si="1"/>
        <v>45343.481670000001</v>
      </c>
    </row>
    <row r="47" spans="1:7" x14ac:dyDescent="0.25">
      <c r="A47" s="8" t="s">
        <v>551</v>
      </c>
      <c r="D47" s="30">
        <f>D40*soft_insurance_pct</f>
        <v>28495.405692</v>
      </c>
      <c r="E47" s="30">
        <f>E40*soft_insurance_pct</f>
        <v>25916.772312000001</v>
      </c>
      <c r="F47" s="30">
        <f t="shared" si="1"/>
        <v>54412.178004000001</v>
      </c>
    </row>
    <row r="48" spans="1:7" x14ac:dyDescent="0.25">
      <c r="A48" s="8" t="s">
        <v>552</v>
      </c>
      <c r="D48" s="30">
        <f>appraisal_env_bldg</f>
        <v>12000</v>
      </c>
      <c r="E48" s="30">
        <f>appraisal_env_bldg</f>
        <v>12000</v>
      </c>
      <c r="F48" s="30">
        <f t="shared" si="1"/>
        <v>24000</v>
      </c>
    </row>
    <row r="49" spans="1:7" x14ac:dyDescent="0.25">
      <c r="A49" s="8" t="s">
        <v>371</v>
      </c>
      <c r="C49" s="30">
        <f>soft_1816</f>
        <v>25000</v>
      </c>
      <c r="F49" s="30">
        <f t="shared" si="1"/>
        <v>25000</v>
      </c>
    </row>
    <row r="50" spans="1:7" x14ac:dyDescent="0.25">
      <c r="A50" s="8" t="s">
        <v>553</v>
      </c>
      <c r="C50" s="30">
        <f>(Operating!C6+Operating!C7)*marketing_unit</f>
        <v>6000</v>
      </c>
      <c r="D50" s="30">
        <f>(Operating!D6+Operating!D7)*marketing_unit</f>
        <v>5250</v>
      </c>
      <c r="E50" s="30">
        <f>(Operating!E6+Operating!E7)*marketing_unit</f>
        <v>5250</v>
      </c>
      <c r="F50" s="30">
        <f t="shared" si="1"/>
        <v>16500</v>
      </c>
    </row>
    <row r="51" spans="1:7" x14ac:dyDescent="0.25">
      <c r="A51" s="8" t="s">
        <v>261</v>
      </c>
      <c r="C51" s="30">
        <v>0</v>
      </c>
      <c r="D51" s="30">
        <f>SUM(D44:D50)*soft_contingency</f>
        <v>13566.701704350002</v>
      </c>
      <c r="E51" s="30">
        <f>SUM(E44:E50)*soft_contingency</f>
        <v>12417.0609891</v>
      </c>
      <c r="F51" s="30">
        <f t="shared" si="1"/>
        <v>25983.76269345</v>
      </c>
    </row>
    <row r="52" spans="1:7" x14ac:dyDescent="0.25">
      <c r="A52" s="32" t="s">
        <v>554</v>
      </c>
      <c r="C52" s="34">
        <f>SUM(C44:C51)</f>
        <v>31000</v>
      </c>
      <c r="D52" s="34">
        <f>SUM(D44:D51)</f>
        <v>284900.73579135002</v>
      </c>
      <c r="E52" s="34">
        <f>SUM(E44:E51)</f>
        <v>260758.28077109999</v>
      </c>
      <c r="F52" s="34">
        <f t="shared" si="1"/>
        <v>576659.01656244998</v>
      </c>
    </row>
    <row r="54" spans="1:7" x14ac:dyDescent="0.25">
      <c r="A54" s="5" t="s">
        <v>555</v>
      </c>
      <c r="B54" s="6"/>
      <c r="C54" s="6"/>
      <c r="D54" s="6"/>
      <c r="E54" s="6"/>
      <c r="F54" s="6"/>
      <c r="G54" s="6"/>
    </row>
    <row r="55" spans="1:7" x14ac:dyDescent="0.25">
      <c r="A55" s="8" t="s">
        <v>556</v>
      </c>
      <c r="C55" s="30">
        <f>Operating!C6*ffe_unit</f>
        <v>75000</v>
      </c>
      <c r="D55" s="30">
        <f>Operating!D6*ffe_unit</f>
        <v>75000</v>
      </c>
      <c r="E55" s="30">
        <f>Operating!E6*ffe_unit</f>
        <v>75000</v>
      </c>
      <c r="F55" s="30">
        <f>SUM(C55:E55)</f>
        <v>225000</v>
      </c>
    </row>
    <row r="56" spans="1:7" x14ac:dyDescent="0.25">
      <c r="A56" s="8" t="s">
        <v>557</v>
      </c>
      <c r="C56" s="30">
        <f>Operating!C8*deck_ffe_unit</f>
        <v>7500</v>
      </c>
      <c r="D56" s="30">
        <f>Operating!D8*deck_ffe_unit</f>
        <v>7500</v>
      </c>
      <c r="E56" s="30">
        <f>Operating!E8*deck_ffe_unit</f>
        <v>7500</v>
      </c>
      <c r="F56" s="30">
        <f>SUM(C56:E56)</f>
        <v>22500</v>
      </c>
    </row>
    <row r="57" spans="1:7" x14ac:dyDescent="0.25">
      <c r="A57" s="32" t="s">
        <v>558</v>
      </c>
      <c r="C57" s="34">
        <f>C55+C56</f>
        <v>82500</v>
      </c>
      <c r="D57" s="34">
        <f>D55+D56</f>
        <v>82500</v>
      </c>
      <c r="E57" s="34">
        <f>E55+E56</f>
        <v>82500</v>
      </c>
      <c r="F57" s="34">
        <f>SUM(C57:E57)</f>
        <v>247500</v>
      </c>
    </row>
    <row r="59" spans="1:7" x14ac:dyDescent="0.25">
      <c r="A59" s="5" t="s">
        <v>559</v>
      </c>
      <c r="B59" s="6"/>
      <c r="C59" s="6"/>
      <c r="D59" s="6"/>
      <c r="E59" s="6"/>
      <c r="F59" s="6"/>
      <c r="G59" s="6"/>
    </row>
    <row r="60" spans="1:7" x14ac:dyDescent="0.25">
      <c r="A60" s="8" t="s">
        <v>560</v>
      </c>
      <c r="D60" s="30">
        <f>(D30+D26+D27+D28)*(1+escalation_pct)*(1+gc_fee)*(1+hard_contingency)</f>
        <v>1201018.2660000001</v>
      </c>
      <c r="E60" s="30">
        <f>(E30+E26+E27+E28)*(1+escalation_pct)*(1+gc_fee)*(1+hard_contingency)</f>
        <v>112742.76600000002</v>
      </c>
      <c r="F60" s="30">
        <f>SUM(C60:E60)</f>
        <v>1313761.0320000001</v>
      </c>
    </row>
    <row r="61" spans="1:7" x14ac:dyDescent="0.25">
      <c r="A61" s="32" t="s">
        <v>561</v>
      </c>
      <c r="D61" s="34">
        <f>(D40-D60)*qre_share</f>
        <v>938879.09999999986</v>
      </c>
      <c r="E61" s="34">
        <f>(E40-E60)*qre_share</f>
        <v>1637590.608</v>
      </c>
      <c r="F61" s="34">
        <f>SUM(C61:E61)</f>
        <v>2576469.7079999996</v>
      </c>
    </row>
  </sheetData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7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8" customWidth="1"/>
    <col min="2" max="2" width="4" customWidth="1"/>
    <col min="3" max="7" width="15" customWidth="1"/>
  </cols>
  <sheetData>
    <row r="1" spans="1:7" ht="20.25" x14ac:dyDescent="0.3">
      <c r="A1" s="1" t="s">
        <v>562</v>
      </c>
    </row>
    <row r="2" spans="1:7" x14ac:dyDescent="0.25">
      <c r="A2" s="2" t="s">
        <v>563</v>
      </c>
    </row>
    <row r="4" spans="1:7" ht="27.95" customHeight="1" x14ac:dyDescent="0.25">
      <c r="A4" s="11" t="s">
        <v>564</v>
      </c>
      <c r="B4" s="12"/>
      <c r="C4" s="12" t="s">
        <v>422</v>
      </c>
      <c r="D4" s="12" t="s">
        <v>435</v>
      </c>
      <c r="E4" s="12" t="s">
        <v>442</v>
      </c>
      <c r="F4" s="12" t="s">
        <v>464</v>
      </c>
      <c r="G4" s="12" t="s">
        <v>565</v>
      </c>
    </row>
    <row r="5" spans="1:7" x14ac:dyDescent="0.25">
      <c r="A5" s="8" t="s">
        <v>566</v>
      </c>
      <c r="C5" s="37">
        <f>acq_1816</f>
        <v>300000</v>
      </c>
      <c r="D5" s="37">
        <f>acq_1818</f>
        <v>150000</v>
      </c>
      <c r="E5" s="37">
        <f>acq_1820</f>
        <v>3000</v>
      </c>
      <c r="F5" s="30">
        <f t="shared" ref="F5:F15" si="0">SUM(C5:E5)</f>
        <v>453000</v>
      </c>
      <c r="G5" s="30">
        <f t="shared" ref="G5:G15" si="1">D5+E5</f>
        <v>153000</v>
      </c>
    </row>
    <row r="6" spans="1:7" x14ac:dyDescent="0.25">
      <c r="A6" s="8" t="s">
        <v>567</v>
      </c>
      <c r="C6" s="30">
        <f>closing_1816</f>
        <v>36052</v>
      </c>
      <c r="D6" s="30">
        <f>MAX(D5*acq_closing_pct,acq_closing_min)</f>
        <v>7500</v>
      </c>
      <c r="E6" s="30">
        <f>MAX(E5*acq_closing_pct,acq_closing_min)</f>
        <v>7500</v>
      </c>
      <c r="F6" s="30">
        <f t="shared" si="0"/>
        <v>51052</v>
      </c>
      <c r="G6" s="30">
        <f t="shared" si="1"/>
        <v>15000</v>
      </c>
    </row>
    <row r="7" spans="1:7" x14ac:dyDescent="0.25">
      <c r="A7" s="8" t="s">
        <v>568</v>
      </c>
      <c r="C7" s="30">
        <f>cost_to_date_1816</f>
        <v>797000</v>
      </c>
      <c r="D7" s="30">
        <v>0</v>
      </c>
      <c r="E7" s="30">
        <v>0</v>
      </c>
      <c r="F7" s="30">
        <f t="shared" si="0"/>
        <v>797000</v>
      </c>
      <c r="G7" s="30">
        <f t="shared" si="1"/>
        <v>0</v>
      </c>
    </row>
    <row r="8" spans="1:7" x14ac:dyDescent="0.25">
      <c r="A8" s="8" t="s">
        <v>569</v>
      </c>
      <c r="C8" s="30">
        <f>carry_to_date_1816</f>
        <v>230744</v>
      </c>
      <c r="D8" s="30">
        <v>0</v>
      </c>
      <c r="E8" s="30">
        <v>0</v>
      </c>
      <c r="F8" s="30">
        <f t="shared" si="0"/>
        <v>230744</v>
      </c>
      <c r="G8" s="30">
        <f t="shared" si="1"/>
        <v>0</v>
      </c>
    </row>
    <row r="9" spans="1:7" x14ac:dyDescent="0.25">
      <c r="A9" s="8" t="s">
        <v>570</v>
      </c>
      <c r="C9" s="37">
        <f>Construction_Budget!C40</f>
        <v>483648</v>
      </c>
      <c r="D9" s="37">
        <f>Construction_Budget!D40</f>
        <v>2374617.1409999998</v>
      </c>
      <c r="E9" s="37">
        <f>Construction_Budget!E40</f>
        <v>2159731.0260000001</v>
      </c>
      <c r="F9" s="30">
        <f t="shared" si="0"/>
        <v>5017996.1669999994</v>
      </c>
      <c r="G9" s="30">
        <f t="shared" si="1"/>
        <v>4534348.1669999994</v>
      </c>
    </row>
    <row r="10" spans="1:7" x14ac:dyDescent="0.25">
      <c r="A10" s="8" t="s">
        <v>547</v>
      </c>
      <c r="C10" s="37">
        <f>Construction_Budget!C52</f>
        <v>31000</v>
      </c>
      <c r="D10" s="37">
        <f>Construction_Budget!D52</f>
        <v>284900.73579135002</v>
      </c>
      <c r="E10" s="37">
        <f>Construction_Budget!E52</f>
        <v>260758.28077109999</v>
      </c>
      <c r="F10" s="30">
        <f t="shared" si="0"/>
        <v>576659.01656244998</v>
      </c>
      <c r="G10" s="30">
        <f t="shared" si="1"/>
        <v>545659.01656244998</v>
      </c>
    </row>
    <row r="11" spans="1:7" x14ac:dyDescent="0.25">
      <c r="A11" s="8" t="s">
        <v>571</v>
      </c>
      <c r="C11" s="37">
        <f>Construction_Budget!C57</f>
        <v>82500</v>
      </c>
      <c r="D11" s="37">
        <f>Construction_Budget!D57</f>
        <v>82500</v>
      </c>
      <c r="E11" s="37">
        <f>Construction_Budget!E57</f>
        <v>82500</v>
      </c>
      <c r="F11" s="30">
        <f t="shared" si="0"/>
        <v>247500</v>
      </c>
      <c r="G11" s="30">
        <f t="shared" si="1"/>
        <v>165000</v>
      </c>
    </row>
    <row r="12" spans="1:7" x14ac:dyDescent="0.25">
      <c r="A12" s="8" t="s">
        <v>572</v>
      </c>
      <c r="C12" s="30">
        <f>hm_charges_1816+Debt_Metrics!$B$25*refi_cost_pct</f>
        <v>35150.728099796557</v>
      </c>
      <c r="D12" s="30">
        <f>(Debt_Metrics!$B$17+Debt_Metrics!$B$18)*D17</f>
        <v>80243.223067375235</v>
      </c>
      <c r="E12" s="30">
        <f>(Debt_Metrics!$B$17+Debt_Metrics!$B$18)*E17</f>
        <v>72981.77693262478</v>
      </c>
      <c r="F12" s="30">
        <f t="shared" si="0"/>
        <v>188375.72809979657</v>
      </c>
      <c r="G12" s="30">
        <f t="shared" si="1"/>
        <v>153225</v>
      </c>
    </row>
    <row r="13" spans="1:7" x14ac:dyDescent="0.25">
      <c r="A13" s="8" t="s">
        <v>573</v>
      </c>
      <c r="C13" s="30">
        <f>operating_reserve_months/12*(Operating!C40+Debt_Metrics!$B$26)</f>
        <v>75685.676890031085</v>
      </c>
      <c r="D13" s="30">
        <f>operating_reserve_months/12*(Operating!D40+Debt_Metrics!$B$19*D17)</f>
        <v>81485.105710603559</v>
      </c>
      <c r="E13" s="30">
        <f>operating_reserve_months/12*(Operating!E40+Debt_Metrics!$B$19*E17)</f>
        <v>74007.31467346038</v>
      </c>
      <c r="F13" s="30">
        <f t="shared" si="0"/>
        <v>231178.09727409502</v>
      </c>
      <c r="G13" s="30">
        <f t="shared" si="1"/>
        <v>155492.42038406394</v>
      </c>
    </row>
    <row r="14" spans="1:7" x14ac:dyDescent="0.25">
      <c r="A14" s="8" t="s">
        <v>574</v>
      </c>
      <c r="C14" s="30">
        <v>0</v>
      </c>
      <c r="D14" s="30">
        <f>SUM(D9:D13)*dev_fee_pct</f>
        <v>232299.69644554632</v>
      </c>
      <c r="E14" s="30">
        <f>SUM(E9:E13)*dev_fee_pct</f>
        <v>211998.27187017482</v>
      </c>
      <c r="F14" s="30">
        <f t="shared" si="0"/>
        <v>444297.96831572114</v>
      </c>
      <c r="G14" s="30">
        <f t="shared" si="1"/>
        <v>444297.96831572114</v>
      </c>
    </row>
    <row r="15" spans="1:7" x14ac:dyDescent="0.25">
      <c r="A15" s="32" t="s">
        <v>575</v>
      </c>
      <c r="C15" s="34">
        <f>SUM(C5:C14)</f>
        <v>2071780.4049898274</v>
      </c>
      <c r="D15" s="34">
        <f>SUM(D5:D14)</f>
        <v>3293545.9020148749</v>
      </c>
      <c r="E15" s="34">
        <f>SUM(E5:E14)</f>
        <v>2872476.6702473601</v>
      </c>
      <c r="F15" s="34">
        <f t="shared" si="0"/>
        <v>8237802.9772520624</v>
      </c>
      <c r="G15" s="34">
        <f t="shared" si="1"/>
        <v>6166022.572262235</v>
      </c>
    </row>
    <row r="17" spans="1:7" x14ac:dyDescent="0.25">
      <c r="A17" s="2" t="s">
        <v>576</v>
      </c>
      <c r="C17" s="41">
        <v>0</v>
      </c>
      <c r="D17" s="41">
        <f>D9/($D9+$E9)</f>
        <v>0.523695369994291</v>
      </c>
      <c r="E17" s="41">
        <f>E9/($D9+$E9)</f>
        <v>0.47630463000570911</v>
      </c>
      <c r="F17" s="41">
        <f>SUM(C17:E17)</f>
        <v>1</v>
      </c>
      <c r="G17" s="41">
        <f>D17+E17</f>
        <v>1</v>
      </c>
    </row>
  </sheetData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0"/>
  <sheetViews>
    <sheetView showGridLines="0" workbookViewId="0"/>
  </sheetViews>
  <sheetFormatPr defaultRowHeight="15" x14ac:dyDescent="0.25"/>
  <cols>
    <col min="1" max="1" width="52" customWidth="1"/>
    <col min="2" max="4" width="16" customWidth="1"/>
    <col min="5" max="5" width="12" customWidth="1"/>
  </cols>
  <sheetData>
    <row r="1" spans="1:5" ht="20.25" x14ac:dyDescent="0.3">
      <c r="A1" s="1" t="s">
        <v>577</v>
      </c>
    </row>
    <row r="2" spans="1:5" x14ac:dyDescent="0.25">
      <c r="A2" s="2" t="s">
        <v>578</v>
      </c>
    </row>
    <row r="4" spans="1:5" ht="27.95" customHeight="1" x14ac:dyDescent="0.25">
      <c r="A4" s="11" t="s">
        <v>579</v>
      </c>
      <c r="B4" s="12" t="s">
        <v>580</v>
      </c>
      <c r="C4" s="12"/>
      <c r="D4" s="12"/>
      <c r="E4" s="12"/>
    </row>
    <row r="5" spans="1:5" x14ac:dyDescent="0.25">
      <c r="A5" s="8" t="s">
        <v>581</v>
      </c>
      <c r="B5" s="37">
        <f>Operating!D41+Operating!E41</f>
        <v>255441.95199999999</v>
      </c>
    </row>
    <row r="6" spans="1:5" x14ac:dyDescent="0.25">
      <c r="A6" s="8" t="s">
        <v>582</v>
      </c>
      <c r="B6" s="37">
        <f>Operating!D46+Operating!E46</f>
        <v>243584.81200000003</v>
      </c>
    </row>
    <row r="7" spans="1:5" x14ac:dyDescent="0.25">
      <c r="A7" s="8" t="s">
        <v>583</v>
      </c>
      <c r="B7" s="37">
        <f>Operating!D43+Operating!E43</f>
        <v>211889.2</v>
      </c>
    </row>
    <row r="8" spans="1:5" x14ac:dyDescent="0.25">
      <c r="A8" s="8" t="s">
        <v>584</v>
      </c>
      <c r="B8" s="37">
        <f>-(Operating!D39+Operating!E39)</f>
        <v>43552.752</v>
      </c>
    </row>
    <row r="9" spans="1:5" x14ac:dyDescent="0.25">
      <c r="A9" s="8" t="s">
        <v>585</v>
      </c>
      <c r="B9" s="30">
        <f>IF(size_on_market=1,$B$6,$B$5)-IF(size_on_chap=1,0,$B$8)</f>
        <v>243584.81200000003</v>
      </c>
    </row>
    <row r="10" spans="1:5" x14ac:dyDescent="0.25">
      <c r="A10" s="8" t="s">
        <v>586</v>
      </c>
      <c r="B10" s="42">
        <f>12*(niif_rate/12)/(1-(1+niif_rate/12)^(-niif_amort*12))</f>
        <v>7.0150804980957368E-2</v>
      </c>
    </row>
    <row r="11" spans="1:5" x14ac:dyDescent="0.25">
      <c r="A11" s="8" t="s">
        <v>587</v>
      </c>
      <c r="B11" s="30">
        <f>$B$9/min_dscr/$B$10</f>
        <v>2777841.9599446855</v>
      </c>
    </row>
    <row r="12" spans="1:5" x14ac:dyDescent="0.25">
      <c r="A12" s="8" t="s">
        <v>588</v>
      </c>
      <c r="B12" s="30">
        <f>$B$5/cap_rate</f>
        <v>3405892.6933333334</v>
      </c>
    </row>
    <row r="13" spans="1:5" x14ac:dyDescent="0.25">
      <c r="A13" s="8" t="s">
        <v>589</v>
      </c>
      <c r="B13" s="30">
        <f>$B$12*niif_max_ltv</f>
        <v>2724714.1546666669</v>
      </c>
    </row>
    <row r="14" spans="1:5" x14ac:dyDescent="0.25">
      <c r="A14" s="8" t="s">
        <v>590</v>
      </c>
      <c r="B14" s="37">
        <f>niif_max_loan</f>
        <v>3000000</v>
      </c>
    </row>
    <row r="15" spans="1:5" x14ac:dyDescent="0.25">
      <c r="A15" s="8" t="s">
        <v>591</v>
      </c>
      <c r="B15" s="30">
        <f>MAX(ROUNDDOWN(MIN($B$11,$B$13,$B$14)/1000,0)*1000,0)</f>
        <v>2724000</v>
      </c>
    </row>
    <row r="16" spans="1:5" x14ac:dyDescent="0.25">
      <c r="A16" s="32" t="s">
        <v>592</v>
      </c>
      <c r="B16" s="34">
        <f>IF(niif_loan_override&gt;0,niif_loan_override,$B$15)</f>
        <v>2724000</v>
      </c>
    </row>
    <row r="17" spans="1:5" x14ac:dyDescent="0.25">
      <c r="A17" s="8" t="s">
        <v>593</v>
      </c>
      <c r="B17" s="30">
        <f>$B$16*niif_avg_draw*niif_rate*niif_io_months/12</f>
        <v>112365.00000000001</v>
      </c>
    </row>
    <row r="18" spans="1:5" x14ac:dyDescent="0.25">
      <c r="A18" s="8" t="s">
        <v>286</v>
      </c>
      <c r="B18" s="30">
        <f>$B$16*niif_fee</f>
        <v>40860</v>
      </c>
    </row>
    <row r="19" spans="1:5" x14ac:dyDescent="0.25">
      <c r="A19" s="8" t="s">
        <v>594</v>
      </c>
      <c r="B19" s="30">
        <f>$B$16*$B$10</f>
        <v>191090.79276812787</v>
      </c>
    </row>
    <row r="21" spans="1:5" ht="27.95" customHeight="1" x14ac:dyDescent="0.25">
      <c r="A21" s="11" t="s">
        <v>595</v>
      </c>
      <c r="B21" s="12" t="s">
        <v>580</v>
      </c>
      <c r="C21" s="12"/>
      <c r="D21" s="12"/>
      <c r="E21" s="12"/>
    </row>
    <row r="22" spans="1:5" x14ac:dyDescent="0.25">
      <c r="A22" s="8" t="s">
        <v>596</v>
      </c>
      <c r="B22" s="30">
        <f>Development_Budget!C5+Development_Budget!C6+Development_Budget!C7+Development_Budget!C8+Development_Budget!C9+Development_Budget!C10+Development_Budget!C11+Development_Budget!C14+hm_charges_1816</f>
        <v>1980454</v>
      </c>
    </row>
    <row r="23" spans="1:5" x14ac:dyDescent="0.25">
      <c r="A23" s="8" t="s">
        <v>597</v>
      </c>
      <c r="B23" s="30">
        <f>equity_1816_invested+carry_to_date_1816+brni_1816+bond_bill_2025</f>
        <v>1289744</v>
      </c>
    </row>
    <row r="24" spans="1:5" x14ac:dyDescent="0.25">
      <c r="A24" s="8" t="s">
        <v>598</v>
      </c>
      <c r="B24" s="42">
        <f>12*(refi1816_rate/12)/(1-(1+refi1816_rate/12)^(-refi1816_amort*12))</f>
        <v>8.6736823691659845E-2</v>
      </c>
    </row>
    <row r="25" spans="1:5" x14ac:dyDescent="0.25">
      <c r="A25" s="32" t="s">
        <v>599</v>
      </c>
      <c r="B25" s="34">
        <f>($B$22+operating_reserve_months/12*Operating!C40-$B$23)/(1-refi_cost_pct-operating_reserve_months/12*$B$24)</f>
        <v>782036.40498982766</v>
      </c>
    </row>
    <row r="26" spans="1:5" x14ac:dyDescent="0.25">
      <c r="A26" s="8" t="s">
        <v>600</v>
      </c>
      <c r="B26" s="30">
        <f>$B$25*$B$24</f>
        <v>67831.353780062171</v>
      </c>
    </row>
    <row r="27" spans="1:5" x14ac:dyDescent="0.25">
      <c r="A27" s="2" t="s">
        <v>601</v>
      </c>
    </row>
    <row r="29" spans="1:5" ht="27.95" customHeight="1" x14ac:dyDescent="0.25">
      <c r="A29" s="11" t="s">
        <v>602</v>
      </c>
      <c r="B29" s="12" t="s">
        <v>422</v>
      </c>
      <c r="C29" s="12" t="s">
        <v>603</v>
      </c>
      <c r="D29" s="12" t="s">
        <v>604</v>
      </c>
      <c r="E29" s="12"/>
    </row>
    <row r="30" spans="1:5" x14ac:dyDescent="0.25">
      <c r="A30" s="8" t="s">
        <v>605</v>
      </c>
      <c r="B30" s="30">
        <f>$B$25</f>
        <v>782036.40498982766</v>
      </c>
      <c r="C30" s="30">
        <f>$B$16</f>
        <v>2724000</v>
      </c>
      <c r="D30" s="30">
        <f>B30+C30</f>
        <v>3506036.4049898274</v>
      </c>
    </row>
    <row r="31" spans="1:5" x14ac:dyDescent="0.25">
      <c r="A31" s="8" t="s">
        <v>606</v>
      </c>
      <c r="B31" s="30">
        <f>$B$26</f>
        <v>67831.353780062171</v>
      </c>
      <c r="C31" s="30">
        <f>$B$19</f>
        <v>191090.79276812787</v>
      </c>
      <c r="D31" s="30">
        <f>B31+C31</f>
        <v>258922.14654819004</v>
      </c>
    </row>
    <row r="32" spans="1:5" x14ac:dyDescent="0.25">
      <c r="A32" s="8" t="s">
        <v>607</v>
      </c>
      <c r="B32" s="30">
        <f>Operating!C41</f>
        <v>121060</v>
      </c>
      <c r="C32" s="30">
        <f>$B$5</f>
        <v>255441.95199999999</v>
      </c>
      <c r="D32" s="30">
        <f>Operating!F41</f>
        <v>376501.95199999999</v>
      </c>
    </row>
    <row r="33" spans="1:5" x14ac:dyDescent="0.25">
      <c r="A33" s="8" t="s">
        <v>608</v>
      </c>
      <c r="B33" s="43">
        <f>B32/B31</f>
        <v>1.7847203874557409</v>
      </c>
      <c r="C33" s="43">
        <f>C32/C31</f>
        <v>1.3367569849896257</v>
      </c>
      <c r="D33" s="43">
        <f>D32/D31</f>
        <v>1.4541125856529473</v>
      </c>
    </row>
    <row r="34" spans="1:5" x14ac:dyDescent="0.25">
      <c r="A34" s="8" t="s">
        <v>609</v>
      </c>
      <c r="B34" s="30">
        <f>Operating!C46</f>
        <v>83078.620000000024</v>
      </c>
      <c r="C34" s="30">
        <f>$B$6</f>
        <v>243584.81200000003</v>
      </c>
      <c r="D34" s="30">
        <f>Operating!F46</f>
        <v>326663.43200000003</v>
      </c>
    </row>
    <row r="35" spans="1:5" x14ac:dyDescent="0.25">
      <c r="A35" s="8" t="s">
        <v>610</v>
      </c>
      <c r="B35" s="43">
        <f>B34/B31</f>
        <v>1.2247819831132358</v>
      </c>
      <c r="C35" s="43">
        <f>C34/C31</f>
        <v>1.2747072136310047</v>
      </c>
      <c r="D35" s="43">
        <f>D34/D31</f>
        <v>1.261628008090077</v>
      </c>
    </row>
    <row r="36" spans="1:5" x14ac:dyDescent="0.25">
      <c r="A36" s="8" t="s">
        <v>611</v>
      </c>
      <c r="B36" s="43">
        <f>Operating!C43/B31</f>
        <v>1.7847203874557409</v>
      </c>
      <c r="C36" s="43">
        <f>$B$7/C31</f>
        <v>1.108840446630567</v>
      </c>
      <c r="D36" s="43">
        <f>Operating!F43/D31</f>
        <v>1.285904679992417</v>
      </c>
    </row>
    <row r="37" spans="1:5" x14ac:dyDescent="0.25">
      <c r="A37" s="8" t="s">
        <v>612</v>
      </c>
      <c r="B37" s="30">
        <f>B32/cap_rate</f>
        <v>1614133.3333333335</v>
      </c>
      <c r="C37" s="30">
        <f>C32/cap_rate</f>
        <v>3405892.6933333334</v>
      </c>
      <c r="D37" s="30">
        <f>D32/cap_rate</f>
        <v>5020026.0266666664</v>
      </c>
    </row>
    <row r="38" spans="1:5" x14ac:dyDescent="0.25">
      <c r="A38" s="8" t="s">
        <v>613</v>
      </c>
      <c r="B38" s="41">
        <f>B30/B37</f>
        <v>0.48449306438325679</v>
      </c>
      <c r="C38" s="41">
        <f>C30/C37</f>
        <v>0.79979031791927424</v>
      </c>
      <c r="D38" s="41">
        <f>D30/D37</f>
        <v>0.69841000551900745</v>
      </c>
    </row>
    <row r="39" spans="1:5" x14ac:dyDescent="0.25">
      <c r="A39" s="8" t="s">
        <v>614</v>
      </c>
      <c r="B39" s="30">
        <f>Development_Budget!C15</f>
        <v>2071780.4049898274</v>
      </c>
      <c r="C39" s="30">
        <f>Development_Budget!G15</f>
        <v>6166022.572262235</v>
      </c>
      <c r="D39" s="30">
        <f>Development_Budget!F15</f>
        <v>8237802.9772520624</v>
      </c>
    </row>
    <row r="40" spans="1:5" x14ac:dyDescent="0.25">
      <c r="A40" s="8" t="s">
        <v>615</v>
      </c>
      <c r="B40" s="41">
        <f>B30/B39</f>
        <v>0.37747070254468768</v>
      </c>
      <c r="C40" s="41">
        <f>C30/C39</f>
        <v>0.4417758722217261</v>
      </c>
      <c r="D40" s="41">
        <f>D30/D39</f>
        <v>0.42560333315465609</v>
      </c>
    </row>
    <row r="41" spans="1:5" x14ac:dyDescent="0.25">
      <c r="A41" s="8" t="s">
        <v>616</v>
      </c>
      <c r="B41" s="41">
        <f>B32/B30</f>
        <v>0.15480097758565944</v>
      </c>
      <c r="C41" s="41">
        <f>C32/C30</f>
        <v>9.3774578560939792E-2</v>
      </c>
      <c r="D41" s="41">
        <f>D32/D30</f>
        <v>0.10738677769122948</v>
      </c>
    </row>
    <row r="43" spans="1:5" ht="27.95" customHeight="1" x14ac:dyDescent="0.25">
      <c r="A43" s="11" t="s">
        <v>617</v>
      </c>
      <c r="B43" s="12" t="s">
        <v>618</v>
      </c>
      <c r="C43" s="12" t="s">
        <v>619</v>
      </c>
      <c r="D43" s="12" t="s">
        <v>620</v>
      </c>
      <c r="E43" s="12"/>
    </row>
    <row r="44" spans="1:5" x14ac:dyDescent="0.25">
      <c r="A44" s="8" t="s">
        <v>621</v>
      </c>
      <c r="B44" s="44">
        <f>min_dscr</f>
        <v>1.25</v>
      </c>
      <c r="C44" s="43">
        <f>C35</f>
        <v>1.2747072136310047</v>
      </c>
      <c r="D44" s="3" t="str">
        <f>IF(C44&gt;=B44-0.00001,"PASS","FAIL")</f>
        <v>PASS</v>
      </c>
    </row>
    <row r="45" spans="1:5" x14ac:dyDescent="0.25">
      <c r="A45" s="8" t="s">
        <v>622</v>
      </c>
      <c r="B45" s="44">
        <f>min_dscr</f>
        <v>1.25</v>
      </c>
      <c r="C45" s="43">
        <f>D33</f>
        <v>1.4541125856529473</v>
      </c>
      <c r="D45" s="3" t="str">
        <f>IF(C45&gt;=B45-0.00001,"PASS","FAIL")</f>
        <v>PASS</v>
      </c>
    </row>
    <row r="46" spans="1:5" x14ac:dyDescent="0.25">
      <c r="A46" s="8" t="s">
        <v>623</v>
      </c>
      <c r="B46" s="45">
        <f>niif_max_ltv</f>
        <v>0.8</v>
      </c>
      <c r="C46" s="41">
        <f>C38</f>
        <v>0.79979031791927424</v>
      </c>
      <c r="D46" s="3" t="str">
        <f>IF(C46&lt;=B46+0.0001,"PASS","FAIL")</f>
        <v>PASS</v>
      </c>
    </row>
    <row r="47" spans="1:5" x14ac:dyDescent="0.25">
      <c r="A47" s="8" t="s">
        <v>615</v>
      </c>
      <c r="B47" s="45">
        <f>niif_max_ltc</f>
        <v>0.8</v>
      </c>
      <c r="C47" s="41">
        <f>C40</f>
        <v>0.4417758722217261</v>
      </c>
      <c r="D47" s="3" t="str">
        <f>IF(C47&lt;=B47+0.0001,"PASS","FAIL")</f>
        <v>PASS</v>
      </c>
    </row>
    <row r="48" spans="1:5" x14ac:dyDescent="0.25">
      <c r="A48" s="8" t="s">
        <v>624</v>
      </c>
      <c r="B48" s="37">
        <f>niif_max_loan</f>
        <v>3000000</v>
      </c>
      <c r="C48" s="30">
        <f>$B$16</f>
        <v>2724000</v>
      </c>
      <c r="D48" s="3" t="str">
        <f>IF(C48&lt;=B48+0.0001,"PASS","FAIL")</f>
        <v>PASS</v>
      </c>
    </row>
    <row r="50" spans="1:1" x14ac:dyDescent="0.25">
      <c r="A50" s="2" t="s">
        <v>625</v>
      </c>
    </row>
  </sheetData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1"/>
  <sheetViews>
    <sheetView showGridLines="0" workbookViewId="0"/>
  </sheetViews>
  <sheetFormatPr defaultRowHeight="15" x14ac:dyDescent="0.25"/>
  <cols>
    <col min="1" max="1" width="62" customWidth="1"/>
    <col min="2" max="2" width="16" customWidth="1"/>
    <col min="3" max="3" width="11" customWidth="1"/>
    <col min="4" max="4" width="42" customWidth="1"/>
    <col min="5" max="5" width="18" customWidth="1"/>
    <col min="6" max="6" width="9" customWidth="1"/>
  </cols>
  <sheetData>
    <row r="1" spans="1:6" ht="20.25" x14ac:dyDescent="0.3">
      <c r="A1" s="1" t="s">
        <v>626</v>
      </c>
    </row>
    <row r="2" spans="1:6" x14ac:dyDescent="0.25">
      <c r="A2" s="2" t="s">
        <v>627</v>
      </c>
    </row>
    <row r="4" spans="1:6" ht="27.95" customHeight="1" x14ac:dyDescent="0.25">
      <c r="A4" s="11" t="s">
        <v>628</v>
      </c>
      <c r="B4" s="12" t="s">
        <v>580</v>
      </c>
      <c r="C4" s="12" t="s">
        <v>629</v>
      </c>
      <c r="D4" s="12" t="s">
        <v>630</v>
      </c>
      <c r="E4" s="12" t="s">
        <v>411</v>
      </c>
      <c r="F4" s="12" t="s">
        <v>631</v>
      </c>
    </row>
    <row r="5" spans="1:6" x14ac:dyDescent="0.25">
      <c r="A5" s="8" t="s">
        <v>632</v>
      </c>
      <c r="B5" s="37">
        <f>niif_</f>
        <v>2724000</v>
      </c>
      <c r="C5" s="41">
        <f t="shared" ref="C5:C17" si="0">B5/$B$17</f>
        <v>0.4417758722217261</v>
      </c>
      <c r="D5" s="8" t="s">
        <v>633</v>
      </c>
      <c r="E5" s="8" t="s">
        <v>634</v>
      </c>
      <c r="F5" s="29">
        <v>1</v>
      </c>
    </row>
    <row r="6" spans="1:6" x14ac:dyDescent="0.25">
      <c r="A6" s="8" t="s">
        <v>635</v>
      </c>
      <c r="B6" s="37">
        <f>equity_cash</f>
        <v>200000</v>
      </c>
      <c r="C6" s="41">
        <f t="shared" si="0"/>
        <v>3.2435820280596626E-2</v>
      </c>
      <c r="D6" s="8" t="s">
        <v>636</v>
      </c>
      <c r="E6" s="8" t="s">
        <v>637</v>
      </c>
      <c r="F6" s="29">
        <v>1</v>
      </c>
    </row>
    <row r="7" spans="1:6" x14ac:dyDescent="0.25">
      <c r="A7" s="8" t="s">
        <v>638</v>
      </c>
      <c r="B7" s="37">
        <f>acq_1818</f>
        <v>150000</v>
      </c>
      <c r="C7" s="41">
        <f t="shared" si="0"/>
        <v>2.4326865210447472E-2</v>
      </c>
      <c r="D7" s="8" t="s">
        <v>639</v>
      </c>
      <c r="E7" s="8" t="s">
        <v>637</v>
      </c>
      <c r="F7" s="29">
        <v>1</v>
      </c>
    </row>
    <row r="8" spans="1:6" x14ac:dyDescent="0.25">
      <c r="A8" s="8" t="s">
        <v>640</v>
      </c>
      <c r="B8" s="37">
        <f>(Development_Budget!D14+Development_Budget!E14)*dev_fee_deferred_pct</f>
        <v>222148.98415786057</v>
      </c>
      <c r="C8" s="41">
        <f t="shared" si="0"/>
        <v>3.6027922628307368E-2</v>
      </c>
      <c r="D8" s="8" t="s">
        <v>641</v>
      </c>
      <c r="E8" s="8" t="s">
        <v>637</v>
      </c>
      <c r="F8" s="29">
        <v>1</v>
      </c>
    </row>
    <row r="9" spans="1:6" x14ac:dyDescent="0.25">
      <c r="A9" s="8" t="s">
        <v>642</v>
      </c>
      <c r="B9" s="37">
        <f>bond_bill_2027</f>
        <v>500000</v>
      </c>
      <c r="C9" s="41">
        <f t="shared" si="0"/>
        <v>8.108955070149157E-2</v>
      </c>
      <c r="D9" s="8" t="s">
        <v>643</v>
      </c>
      <c r="E9" s="8" t="s">
        <v>644</v>
      </c>
      <c r="F9" s="29">
        <v>2</v>
      </c>
    </row>
    <row r="10" spans="1:6" x14ac:dyDescent="0.25">
      <c r="A10" s="8" t="s">
        <v>645</v>
      </c>
      <c r="B10" s="37">
        <f>include_fed_htc*(Construction_Budget!D61+Construction_Budget!E61)*fed_htc_rate*htc_price</f>
        <v>437999.85035999998</v>
      </c>
      <c r="C10" s="41">
        <f t="shared" si="0"/>
        <v>7.1034422146025886E-2</v>
      </c>
      <c r="D10" s="8" t="s">
        <v>646</v>
      </c>
      <c r="E10" s="8" t="s">
        <v>647</v>
      </c>
      <c r="F10" s="29">
        <v>2</v>
      </c>
    </row>
    <row r="11" spans="1:6" x14ac:dyDescent="0.25">
      <c r="A11" s="8" t="s">
        <v>648</v>
      </c>
      <c r="B11" s="37">
        <f>include_mht*(Construction_Budget!D61+Construction_Budget!E61)*mht_credit_rate*htc_price</f>
        <v>437999.85035999998</v>
      </c>
      <c r="C11" s="41">
        <f t="shared" si="0"/>
        <v>7.1034422146025886E-2</v>
      </c>
      <c r="D11" s="8" t="s">
        <v>649</v>
      </c>
      <c r="E11" s="8" t="s">
        <v>647</v>
      </c>
      <c r="F11" s="29">
        <v>2</v>
      </c>
    </row>
    <row r="12" spans="1:6" x14ac:dyDescent="0.25">
      <c r="A12" s="8" t="s">
        <v>650</v>
      </c>
      <c r="B12" s="37">
        <f>bdc_facade</f>
        <v>50000</v>
      </c>
      <c r="C12" s="41">
        <f t="shared" si="0"/>
        <v>8.1089550701491566E-3</v>
      </c>
      <c r="D12" s="8" t="s">
        <v>651</v>
      </c>
      <c r="E12" s="8" t="s">
        <v>644</v>
      </c>
      <c r="F12" s="29">
        <v>2</v>
      </c>
    </row>
    <row r="13" spans="1:6" x14ac:dyDescent="0.25">
      <c r="A13" s="8" t="s">
        <v>652</v>
      </c>
      <c r="B13" s="37">
        <f>brni_2028</f>
        <v>150000</v>
      </c>
      <c r="C13" s="41">
        <f t="shared" si="0"/>
        <v>2.4326865210447472E-2</v>
      </c>
      <c r="D13" s="8" t="s">
        <v>653</v>
      </c>
      <c r="E13" s="8" t="s">
        <v>644</v>
      </c>
      <c r="F13" s="29">
        <v>3</v>
      </c>
    </row>
    <row r="14" spans="1:6" x14ac:dyDescent="0.25">
      <c r="A14" s="8" t="s">
        <v>654</v>
      </c>
      <c r="B14" s="37">
        <f>sdf_grant</f>
        <v>250000</v>
      </c>
      <c r="C14" s="41">
        <f t="shared" si="0"/>
        <v>4.0544775350745785E-2</v>
      </c>
      <c r="D14" s="8" t="s">
        <v>655</v>
      </c>
      <c r="E14" s="8" t="s">
        <v>644</v>
      </c>
      <c r="F14" s="29">
        <v>3</v>
      </c>
    </row>
    <row r="15" spans="1:6" x14ac:dyDescent="0.25">
      <c r="A15" s="8" t="s">
        <v>656</v>
      </c>
      <c r="B15" s="37">
        <f>community_legacy</f>
        <v>100000</v>
      </c>
      <c r="C15" s="41">
        <f t="shared" si="0"/>
        <v>1.6217910140298313E-2</v>
      </c>
      <c r="D15" s="8" t="s">
        <v>655</v>
      </c>
      <c r="E15" s="8" t="s">
        <v>644</v>
      </c>
      <c r="F15" s="29">
        <v>3</v>
      </c>
    </row>
    <row r="16" spans="1:6" x14ac:dyDescent="0.25">
      <c r="A16" s="46" t="s">
        <v>657</v>
      </c>
      <c r="B16" s="47">
        <f>MAX(Development_Budget!G15-SUM(B5:B15),0)</f>
        <v>943873.88738437463</v>
      </c>
      <c r="C16" s="41">
        <f t="shared" si="0"/>
        <v>0.15307661889373839</v>
      </c>
      <c r="D16" s="8" t="s">
        <v>658</v>
      </c>
      <c r="E16" s="8" t="s">
        <v>659</v>
      </c>
      <c r="F16" s="29">
        <v>4</v>
      </c>
    </row>
    <row r="17" spans="1:6" x14ac:dyDescent="0.25">
      <c r="A17" s="32" t="s">
        <v>660</v>
      </c>
      <c r="B17" s="34">
        <f>SUM(B5:B16)</f>
        <v>6166022.572262235</v>
      </c>
      <c r="C17" s="48">
        <f t="shared" si="0"/>
        <v>1</v>
      </c>
    </row>
    <row r="18" spans="1:6" x14ac:dyDescent="0.25">
      <c r="A18" s="8" t="s">
        <v>661</v>
      </c>
      <c r="B18" s="37">
        <f>Development_Budget!G15</f>
        <v>6166022.572262235</v>
      </c>
    </row>
    <row r="19" spans="1:6" x14ac:dyDescent="0.25">
      <c r="A19" s="8" t="s">
        <v>662</v>
      </c>
      <c r="B19" s="30">
        <f>B17-B18</f>
        <v>0</v>
      </c>
    </row>
    <row r="21" spans="1:6" ht="27.95" customHeight="1" x14ac:dyDescent="0.25">
      <c r="A21" s="11" t="s">
        <v>663</v>
      </c>
      <c r="B21" s="12" t="s">
        <v>580</v>
      </c>
      <c r="C21" s="12"/>
      <c r="D21" s="12"/>
      <c r="E21" s="12"/>
      <c r="F21" s="12"/>
    </row>
    <row r="22" spans="1:6" x14ac:dyDescent="0.25">
      <c r="A22" s="8" t="s">
        <v>661</v>
      </c>
      <c r="B22" s="30">
        <f>B18</f>
        <v>6166022.572262235</v>
      </c>
    </row>
    <row r="23" spans="1:6" x14ac:dyDescent="0.25">
      <c r="A23" s="8" t="s">
        <v>664</v>
      </c>
      <c r="B23" s="30">
        <f>-SUMIFS($B$5:$B$15,$F$5:$F$15,1)</f>
        <v>-3296148.9841578607</v>
      </c>
    </row>
    <row r="24" spans="1:6" x14ac:dyDescent="0.25">
      <c r="A24" s="32" t="s">
        <v>665</v>
      </c>
      <c r="B24" s="34">
        <f>B22+B23</f>
        <v>2869873.5881043742</v>
      </c>
    </row>
    <row r="25" spans="1:6" x14ac:dyDescent="0.25">
      <c r="A25" s="8" t="s">
        <v>666</v>
      </c>
      <c r="B25" s="30">
        <f>-SUMIFS($B$5:$B$15,$F$5:$F$15,2)</f>
        <v>-1425999.7007200001</v>
      </c>
    </row>
    <row r="26" spans="1:6" x14ac:dyDescent="0.25">
      <c r="A26" s="32" t="s">
        <v>667</v>
      </c>
      <c r="B26" s="34">
        <f>B24+B25</f>
        <v>1443873.8873843742</v>
      </c>
    </row>
    <row r="27" spans="1:6" x14ac:dyDescent="0.25">
      <c r="A27" s="8" t="s">
        <v>668</v>
      </c>
      <c r="B27" s="30">
        <f>-SUMIFS($B$5:$B$15,$F$5:$F$15,3)</f>
        <v>-500000</v>
      </c>
    </row>
    <row r="28" spans="1:6" x14ac:dyDescent="0.25">
      <c r="A28" s="32" t="s">
        <v>669</v>
      </c>
      <c r="B28" s="34">
        <f>MAX(B26+B27,0)</f>
        <v>943873.88738437416</v>
      </c>
    </row>
    <row r="29" spans="1:6" x14ac:dyDescent="0.25">
      <c r="A29" s="8" t="s">
        <v>670</v>
      </c>
      <c r="B29" s="41">
        <f>B28/B18</f>
        <v>0.1530766188937383</v>
      </c>
    </row>
    <row r="30" spans="1:6" x14ac:dyDescent="0.25">
      <c r="A30" s="8" t="s">
        <v>671</v>
      </c>
      <c r="B30" s="30">
        <f>B24*(hm_rate*2+hm_points)</f>
        <v>760516.50084765919</v>
      </c>
    </row>
    <row r="32" spans="1:6" ht="27.95" customHeight="1" x14ac:dyDescent="0.25">
      <c r="A32" s="11" t="s">
        <v>672</v>
      </c>
      <c r="B32" s="12" t="s">
        <v>580</v>
      </c>
      <c r="C32" s="12"/>
      <c r="D32" s="12"/>
      <c r="E32" s="12"/>
      <c r="F32" s="12"/>
    </row>
    <row r="33" spans="1:6" x14ac:dyDescent="0.25">
      <c r="A33" s="8" t="s">
        <v>673</v>
      </c>
      <c r="B33" s="37">
        <f>(Construction_Budget!D61+Construction_Budget!E61)</f>
        <v>2576469.7079999996</v>
      </c>
    </row>
    <row r="34" spans="1:6" x14ac:dyDescent="0.25">
      <c r="A34" s="8" t="s">
        <v>674</v>
      </c>
      <c r="B34" s="30">
        <f>B33*fed_htc_rate</f>
        <v>515293.94159999996</v>
      </c>
    </row>
    <row r="35" spans="1:6" x14ac:dyDescent="0.25">
      <c r="A35" s="8" t="s">
        <v>675</v>
      </c>
      <c r="B35" s="30">
        <f>B33*mht_credit_rate</f>
        <v>515293.94159999996</v>
      </c>
    </row>
    <row r="36" spans="1:6" x14ac:dyDescent="0.25">
      <c r="A36" s="8" t="s">
        <v>676</v>
      </c>
      <c r="B36" s="49">
        <f>htc_price</f>
        <v>0.85</v>
      </c>
    </row>
    <row r="38" spans="1:6" ht="27.95" customHeight="1" x14ac:dyDescent="0.25">
      <c r="A38" s="11" t="s">
        <v>677</v>
      </c>
      <c r="B38" s="12" t="s">
        <v>580</v>
      </c>
      <c r="C38" s="12"/>
      <c r="D38" s="12" t="s">
        <v>630</v>
      </c>
      <c r="E38" s="12" t="s">
        <v>411</v>
      </c>
      <c r="F38" s="12"/>
    </row>
    <row r="39" spans="1:6" x14ac:dyDescent="0.25">
      <c r="A39" s="8" t="s">
        <v>678</v>
      </c>
      <c r="B39" s="37">
        <f>L16_</f>
        <v>782036.40498982766</v>
      </c>
      <c r="D39" s="8" t="s">
        <v>679</v>
      </c>
      <c r="E39" s="8" t="s">
        <v>634</v>
      </c>
    </row>
    <row r="40" spans="1:6" x14ac:dyDescent="0.25">
      <c r="A40" s="8" t="s">
        <v>680</v>
      </c>
      <c r="B40" s="37">
        <f>equity_1816_invested</f>
        <v>559000</v>
      </c>
      <c r="D40" s="8" t="s">
        <v>639</v>
      </c>
      <c r="E40" s="8" t="s">
        <v>637</v>
      </c>
    </row>
    <row r="41" spans="1:6" x14ac:dyDescent="0.25">
      <c r="A41" s="8" t="s">
        <v>681</v>
      </c>
      <c r="B41" s="37">
        <f>carry_to_date_1816</f>
        <v>230744</v>
      </c>
      <c r="D41" s="8" t="s">
        <v>639</v>
      </c>
      <c r="E41" s="8" t="s">
        <v>637</v>
      </c>
    </row>
    <row r="42" spans="1:6" x14ac:dyDescent="0.25">
      <c r="A42" s="8" t="s">
        <v>682</v>
      </c>
      <c r="B42" s="37">
        <f>brni_1816</f>
        <v>250000</v>
      </c>
      <c r="D42" s="8" t="s">
        <v>683</v>
      </c>
      <c r="E42" s="8" t="s">
        <v>644</v>
      </c>
    </row>
    <row r="43" spans="1:6" x14ac:dyDescent="0.25">
      <c r="A43" s="8" t="s">
        <v>684</v>
      </c>
      <c r="B43" s="37">
        <f>bond_bill_2025</f>
        <v>250000</v>
      </c>
      <c r="D43" s="8" t="s">
        <v>683</v>
      </c>
      <c r="E43" s="8" t="s">
        <v>644</v>
      </c>
    </row>
    <row r="44" spans="1:6" x14ac:dyDescent="0.25">
      <c r="A44" s="32" t="s">
        <v>685</v>
      </c>
      <c r="B44" s="34">
        <f>SUM(B39:B43)</f>
        <v>2071780.4049898277</v>
      </c>
    </row>
    <row r="45" spans="1:6" x14ac:dyDescent="0.25">
      <c r="A45" s="8" t="s">
        <v>686</v>
      </c>
      <c r="B45" s="37">
        <f>Development_Budget!C15</f>
        <v>2071780.4049898274</v>
      </c>
    </row>
    <row r="46" spans="1:6" x14ac:dyDescent="0.25">
      <c r="A46" s="8" t="s">
        <v>662</v>
      </c>
      <c r="B46" s="30">
        <f>B44-B45</f>
        <v>0</v>
      </c>
    </row>
    <row r="48" spans="1:6" x14ac:dyDescent="0.25">
      <c r="A48" s="32" t="s">
        <v>687</v>
      </c>
      <c r="B48" s="34">
        <f>B17+B44</f>
        <v>8237802.9772520624</v>
      </c>
    </row>
    <row r="49" spans="1:2" x14ac:dyDescent="0.25">
      <c r="A49" s="32" t="s">
        <v>688</v>
      </c>
      <c r="B49" s="34">
        <f>Development_Budget!F15</f>
        <v>8237802.9772520624</v>
      </c>
    </row>
    <row r="51" spans="1:2" x14ac:dyDescent="0.25">
      <c r="A51" s="2" t="s">
        <v>689</v>
      </c>
    </row>
  </sheetData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4" customWidth="1"/>
    <col min="2" max="13" width="13" customWidth="1"/>
  </cols>
  <sheetData>
    <row r="1" spans="1:14" ht="20.25" x14ac:dyDescent="0.3">
      <c r="A1" s="1" t="s">
        <v>690</v>
      </c>
    </row>
    <row r="2" spans="1:14" x14ac:dyDescent="0.25">
      <c r="A2" s="2" t="s">
        <v>691</v>
      </c>
    </row>
    <row r="4" spans="1:14" x14ac:dyDescent="0.25">
      <c r="A4" s="50" t="s">
        <v>692</v>
      </c>
      <c r="B4" s="51"/>
      <c r="C4" s="52">
        <v>1</v>
      </c>
      <c r="D4" s="52">
        <v>2</v>
      </c>
      <c r="E4" s="52">
        <v>3</v>
      </c>
      <c r="F4" s="52">
        <v>4</v>
      </c>
      <c r="G4" s="52">
        <v>5</v>
      </c>
      <c r="H4" s="52">
        <v>6</v>
      </c>
      <c r="I4" s="52">
        <v>7</v>
      </c>
      <c r="J4" s="52">
        <v>8</v>
      </c>
      <c r="K4" s="52">
        <v>9</v>
      </c>
      <c r="L4" s="52">
        <v>10</v>
      </c>
      <c r="M4" s="53">
        <v>11</v>
      </c>
      <c r="N4" s="54"/>
    </row>
    <row r="5" spans="1:14" x14ac:dyDescent="0.25">
      <c r="A5" s="8" t="s">
        <v>693</v>
      </c>
      <c r="C5" s="29">
        <f t="shared" ref="C5:M5" si="0">stabilized_year+C$4-1</f>
        <v>2029</v>
      </c>
      <c r="D5" s="29">
        <f t="shared" si="0"/>
        <v>2030</v>
      </c>
      <c r="E5" s="29">
        <f t="shared" si="0"/>
        <v>2031</v>
      </c>
      <c r="F5" s="29">
        <f t="shared" si="0"/>
        <v>2032</v>
      </c>
      <c r="G5" s="29">
        <f t="shared" si="0"/>
        <v>2033</v>
      </c>
      <c r="H5" s="29">
        <f t="shared" si="0"/>
        <v>2034</v>
      </c>
      <c r="I5" s="29">
        <f t="shared" si="0"/>
        <v>2035</v>
      </c>
      <c r="J5" s="29">
        <f t="shared" si="0"/>
        <v>2036</v>
      </c>
      <c r="K5" s="29">
        <f t="shared" si="0"/>
        <v>2037</v>
      </c>
      <c r="L5" s="29">
        <f t="shared" si="0"/>
        <v>2038</v>
      </c>
      <c r="M5" s="29">
        <f t="shared" si="0"/>
        <v>2039</v>
      </c>
    </row>
    <row r="6" spans="1:14" x14ac:dyDescent="0.25">
      <c r="A6" s="8" t="s">
        <v>694</v>
      </c>
      <c r="C6" s="55">
        <f t="shared" ref="C6:M6" si="1">(1+rent_growth)^(C$4-1)</f>
        <v>1</v>
      </c>
      <c r="D6" s="55">
        <f t="shared" si="1"/>
        <v>1.02</v>
      </c>
      <c r="E6" s="55">
        <f t="shared" si="1"/>
        <v>1.0404</v>
      </c>
      <c r="F6" s="55">
        <f t="shared" si="1"/>
        <v>1.0612079999999999</v>
      </c>
      <c r="G6" s="55">
        <f t="shared" si="1"/>
        <v>1.08243216</v>
      </c>
      <c r="H6" s="55">
        <f t="shared" si="1"/>
        <v>1.1040808032</v>
      </c>
      <c r="I6" s="55">
        <f t="shared" si="1"/>
        <v>1.1261624192640001</v>
      </c>
      <c r="J6" s="55">
        <f t="shared" si="1"/>
        <v>1.1486856676492798</v>
      </c>
      <c r="K6" s="55">
        <f t="shared" si="1"/>
        <v>1.1716593810022655</v>
      </c>
      <c r="L6" s="55">
        <f t="shared" si="1"/>
        <v>1.1950925686223108</v>
      </c>
      <c r="M6" s="55">
        <f t="shared" si="1"/>
        <v>1.2189944199947571</v>
      </c>
    </row>
    <row r="7" spans="1:14" x14ac:dyDescent="0.25">
      <c r="A7" s="8" t="s">
        <v>695</v>
      </c>
      <c r="C7" s="55">
        <f t="shared" ref="C7:M7" si="2">(1+exp_growth)^(C$4-1)</f>
        <v>1</v>
      </c>
      <c r="D7" s="55">
        <f t="shared" si="2"/>
        <v>1.03</v>
      </c>
      <c r="E7" s="55">
        <f t="shared" si="2"/>
        <v>1.0609</v>
      </c>
      <c r="F7" s="55">
        <f t="shared" si="2"/>
        <v>1.092727</v>
      </c>
      <c r="G7" s="55">
        <f t="shared" si="2"/>
        <v>1.1255088099999999</v>
      </c>
      <c r="H7" s="55">
        <f t="shared" si="2"/>
        <v>1.1592740742999998</v>
      </c>
      <c r="I7" s="55">
        <f t="shared" si="2"/>
        <v>1.1940522965289999</v>
      </c>
      <c r="J7" s="55">
        <f t="shared" si="2"/>
        <v>1.22987386542487</v>
      </c>
      <c r="K7" s="55">
        <f t="shared" si="2"/>
        <v>1.2667700813876159</v>
      </c>
      <c r="L7" s="55">
        <f t="shared" si="2"/>
        <v>1.3047731838292445</v>
      </c>
      <c r="M7" s="55">
        <f t="shared" si="2"/>
        <v>1.3439163793441218</v>
      </c>
    </row>
    <row r="8" spans="1:14" x14ac:dyDescent="0.25">
      <c r="A8" s="5" t="s">
        <v>470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4" x14ac:dyDescent="0.25">
      <c r="A9" s="8" t="s">
        <v>696</v>
      </c>
      <c r="C9" s="30">
        <f>Operating!$F$11*C6</f>
        <v>457800</v>
      </c>
      <c r="D9" s="30">
        <f>Operating!$F$11*D6</f>
        <v>466956</v>
      </c>
      <c r="E9" s="30">
        <f>Operating!$F$11*E6</f>
        <v>476295.12</v>
      </c>
      <c r="F9" s="30">
        <f>Operating!$F$11*F6</f>
        <v>485821.02239999996</v>
      </c>
      <c r="G9" s="30">
        <f>Operating!$F$11*G6</f>
        <v>495537.44284799998</v>
      </c>
      <c r="H9" s="30">
        <f>Operating!$F$11*H6</f>
        <v>505448.19170496002</v>
      </c>
      <c r="I9" s="30">
        <f>Operating!$F$11*I6</f>
        <v>515557.15553905925</v>
      </c>
      <c r="J9" s="30">
        <f>Operating!$F$11*J6</f>
        <v>525868.29864984029</v>
      </c>
      <c r="K9" s="30">
        <f>Operating!$F$11*K6</f>
        <v>536385.66462283721</v>
      </c>
      <c r="L9" s="30">
        <f>Operating!$F$11*L6</f>
        <v>547113.37791529391</v>
      </c>
      <c r="M9" s="30">
        <f>Operating!$F$11*M6</f>
        <v>558055.64547359978</v>
      </c>
    </row>
    <row r="10" spans="1:14" x14ac:dyDescent="0.25">
      <c r="A10" s="8" t="s">
        <v>697</v>
      </c>
      <c r="C10" s="30">
        <f>Operating!$F$12*C6</f>
        <v>168000</v>
      </c>
      <c r="D10" s="30">
        <f>Operating!$F$12*D6</f>
        <v>171360</v>
      </c>
      <c r="E10" s="30">
        <f>Operating!$F$12*E6</f>
        <v>174787.20000000001</v>
      </c>
      <c r="F10" s="30">
        <f>Operating!$F$12*F6</f>
        <v>178282.94399999999</v>
      </c>
      <c r="G10" s="30">
        <f>Operating!$F$12*G6</f>
        <v>181848.60287999999</v>
      </c>
      <c r="H10" s="30">
        <f>Operating!$F$12*H6</f>
        <v>185485.5749376</v>
      </c>
      <c r="I10" s="30">
        <f>Operating!$F$12*I6</f>
        <v>189195.28643635201</v>
      </c>
      <c r="J10" s="30">
        <f>Operating!$F$12*J6</f>
        <v>192979.192165079</v>
      </c>
      <c r="K10" s="30">
        <f>Operating!$F$12*K6</f>
        <v>196838.77600838061</v>
      </c>
      <c r="L10" s="30">
        <f>Operating!$F$12*L6</f>
        <v>200775.55152854821</v>
      </c>
      <c r="M10" s="30">
        <f>Operating!$F$12*M6</f>
        <v>204791.06255911919</v>
      </c>
    </row>
    <row r="11" spans="1:14" x14ac:dyDescent="0.25">
      <c r="A11" s="8" t="s">
        <v>473</v>
      </c>
      <c r="C11" s="30">
        <f>Operating!$F$13*C6</f>
        <v>7560</v>
      </c>
      <c r="D11" s="30">
        <f>Operating!$F$13*D6</f>
        <v>7711.2</v>
      </c>
      <c r="E11" s="30">
        <f>Operating!$F$13*E6</f>
        <v>7865.424</v>
      </c>
      <c r="F11" s="30">
        <f>Operating!$F$13*F6</f>
        <v>8022.7324799999997</v>
      </c>
      <c r="G11" s="30">
        <f>Operating!$F$13*G6</f>
        <v>8183.1871295999999</v>
      </c>
      <c r="H11" s="30">
        <f>Operating!$F$13*H6</f>
        <v>8346.8508721920007</v>
      </c>
      <c r="I11" s="30">
        <f>Operating!$F$13*I6</f>
        <v>8513.7878896358397</v>
      </c>
      <c r="J11" s="30">
        <f>Operating!$F$13*J6</f>
        <v>8684.0636474285548</v>
      </c>
      <c r="K11" s="30">
        <f>Operating!$F$13*K6</f>
        <v>8857.7449203771266</v>
      </c>
      <c r="L11" s="30">
        <f>Operating!$F$13*L6</f>
        <v>9034.8998187846701</v>
      </c>
      <c r="M11" s="30">
        <f>Operating!$F$13*M6</f>
        <v>9215.5978151603631</v>
      </c>
    </row>
    <row r="12" spans="1:14" x14ac:dyDescent="0.25">
      <c r="A12" s="8" t="s">
        <v>698</v>
      </c>
      <c r="C12" s="30">
        <f t="shared" ref="C12:M12" si="3">-C9*(vac_res+loss_res)</f>
        <v>-36624</v>
      </c>
      <c r="D12" s="30">
        <f t="shared" si="3"/>
        <v>-37356.480000000003</v>
      </c>
      <c r="E12" s="30">
        <f t="shared" si="3"/>
        <v>-38103.609600000003</v>
      </c>
      <c r="F12" s="30">
        <f t="shared" si="3"/>
        <v>-38865.681791999996</v>
      </c>
      <c r="G12" s="30">
        <f t="shared" si="3"/>
        <v>-39642.995427839996</v>
      </c>
      <c r="H12" s="30">
        <f t="shared" si="3"/>
        <v>-40435.855336396802</v>
      </c>
      <c r="I12" s="30">
        <f t="shared" si="3"/>
        <v>-41244.572443124744</v>
      </c>
      <c r="J12" s="30">
        <f t="shared" si="3"/>
        <v>-42069.463891987223</v>
      </c>
      <c r="K12" s="30">
        <f t="shared" si="3"/>
        <v>-42910.85316982698</v>
      </c>
      <c r="L12" s="30">
        <f t="shared" si="3"/>
        <v>-43769.070233223516</v>
      </c>
      <c r="M12" s="30">
        <f t="shared" si="3"/>
        <v>-44644.451637887985</v>
      </c>
    </row>
    <row r="13" spans="1:14" x14ac:dyDescent="0.25">
      <c r="A13" s="8" t="s">
        <v>699</v>
      </c>
      <c r="C13" s="30">
        <f t="shared" ref="C13:M13" si="4">-C10*(vac_com+loss_com)</f>
        <v>-16800</v>
      </c>
      <c r="D13" s="30">
        <f t="shared" si="4"/>
        <v>-17136</v>
      </c>
      <c r="E13" s="30">
        <f t="shared" si="4"/>
        <v>-17478.72</v>
      </c>
      <c r="F13" s="30">
        <f t="shared" si="4"/>
        <v>-17828.294399999999</v>
      </c>
      <c r="G13" s="30">
        <f t="shared" si="4"/>
        <v>-18184.860288</v>
      </c>
      <c r="H13" s="30">
        <f t="shared" si="4"/>
        <v>-18548.557493759999</v>
      </c>
      <c r="I13" s="30">
        <f t="shared" si="4"/>
        <v>-18919.5286436352</v>
      </c>
      <c r="J13" s="30">
        <f t="shared" si="4"/>
        <v>-19297.9192165079</v>
      </c>
      <c r="K13" s="30">
        <f t="shared" si="4"/>
        <v>-19683.877600838063</v>
      </c>
      <c r="L13" s="30">
        <f t="shared" si="4"/>
        <v>-20077.555152854824</v>
      </c>
      <c r="M13" s="30">
        <f t="shared" si="4"/>
        <v>-20479.10625591192</v>
      </c>
    </row>
    <row r="14" spans="1:14" x14ac:dyDescent="0.25">
      <c r="A14" s="32" t="s">
        <v>476</v>
      </c>
      <c r="C14" s="34">
        <f t="shared" ref="C14:M14" si="5">SUM(C9:C13)</f>
        <v>579936</v>
      </c>
      <c r="D14" s="34">
        <f t="shared" si="5"/>
        <v>591534.72</v>
      </c>
      <c r="E14" s="34">
        <f t="shared" si="5"/>
        <v>603365.41440000013</v>
      </c>
      <c r="F14" s="34">
        <f t="shared" si="5"/>
        <v>615432.72268799995</v>
      </c>
      <c r="G14" s="34">
        <f t="shared" si="5"/>
        <v>627741.37714175996</v>
      </c>
      <c r="H14" s="34">
        <f t="shared" si="5"/>
        <v>640296.20468459511</v>
      </c>
      <c r="I14" s="34">
        <f t="shared" si="5"/>
        <v>653102.12877828721</v>
      </c>
      <c r="J14" s="34">
        <f t="shared" si="5"/>
        <v>666164.17135385273</v>
      </c>
      <c r="K14" s="34">
        <f t="shared" si="5"/>
        <v>679487.45478092984</v>
      </c>
      <c r="L14" s="34">
        <f t="shared" si="5"/>
        <v>693077.20387654845</v>
      </c>
      <c r="M14" s="34">
        <f t="shared" si="5"/>
        <v>706938.74795407953</v>
      </c>
    </row>
    <row r="15" spans="1:14" x14ac:dyDescent="0.25">
      <c r="A15" s="5" t="s">
        <v>700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x14ac:dyDescent="0.25">
      <c r="A16" s="8" t="s">
        <v>478</v>
      </c>
      <c r="C16" s="30">
        <f t="shared" ref="C16:M16" si="6">C14*mgmt_pct</f>
        <v>28996.800000000003</v>
      </c>
      <c r="D16" s="30">
        <f t="shared" si="6"/>
        <v>29576.736000000001</v>
      </c>
      <c r="E16" s="30">
        <f t="shared" si="6"/>
        <v>30168.270720000008</v>
      </c>
      <c r="F16" s="30">
        <f t="shared" si="6"/>
        <v>30771.6361344</v>
      </c>
      <c r="G16" s="30">
        <f t="shared" si="6"/>
        <v>31387.068857088001</v>
      </c>
      <c r="H16" s="30">
        <f t="shared" si="6"/>
        <v>32014.810234229757</v>
      </c>
      <c r="I16" s="30">
        <f t="shared" si="6"/>
        <v>32655.106438914361</v>
      </c>
      <c r="J16" s="30">
        <f t="shared" si="6"/>
        <v>33308.208567692636</v>
      </c>
      <c r="K16" s="30">
        <f t="shared" si="6"/>
        <v>33974.372739046492</v>
      </c>
      <c r="L16" s="30">
        <f t="shared" si="6"/>
        <v>34653.860193827422</v>
      </c>
      <c r="M16" s="30">
        <f t="shared" si="6"/>
        <v>35346.93739770398</v>
      </c>
    </row>
    <row r="17" spans="1:13" x14ac:dyDescent="0.25">
      <c r="A17" s="8" t="s">
        <v>701</v>
      </c>
      <c r="C17" s="30">
        <f>(Operating!$F$33-Operating!$F$18)*C7</f>
        <v>130669.99999999999</v>
      </c>
      <c r="D17" s="30">
        <f>(Operating!$F$33-Operating!$F$18)*D7</f>
        <v>134590.09999999998</v>
      </c>
      <c r="E17" s="30">
        <f>(Operating!$F$33-Operating!$F$18)*E7</f>
        <v>138627.80299999999</v>
      </c>
      <c r="F17" s="30">
        <f>(Operating!$F$33-Operating!$F$18)*F7</f>
        <v>142786.63708999997</v>
      </c>
      <c r="G17" s="30">
        <f>(Operating!$F$33-Operating!$F$18)*G7</f>
        <v>147070.23620269998</v>
      </c>
      <c r="H17" s="30">
        <f>(Operating!$F$33-Operating!$F$18)*H7</f>
        <v>151482.34328878098</v>
      </c>
      <c r="I17" s="30">
        <f>(Operating!$F$33-Operating!$F$18)*I7</f>
        <v>156026.8135874444</v>
      </c>
      <c r="J17" s="30">
        <f>(Operating!$F$33-Operating!$F$18)*J7</f>
        <v>160707.61799506773</v>
      </c>
      <c r="K17" s="30">
        <f>(Operating!$F$33-Operating!$F$18)*K7</f>
        <v>165528.84653491975</v>
      </c>
      <c r="L17" s="30">
        <f>(Operating!$F$33-Operating!$F$18)*L7</f>
        <v>170494.71193096734</v>
      </c>
      <c r="M17" s="30">
        <f>(Operating!$F$33-Operating!$F$18)*M7</f>
        <v>175609.55328889636</v>
      </c>
    </row>
    <row r="18" spans="1:13" x14ac:dyDescent="0.25">
      <c r="A18" s="8" t="s">
        <v>702</v>
      </c>
      <c r="C18" s="30">
        <f>Operating!$F$37*C7</f>
        <v>87320</v>
      </c>
      <c r="D18" s="30">
        <f>Operating!$F$37*D7</f>
        <v>89939.6</v>
      </c>
      <c r="E18" s="30">
        <f>Operating!$F$37*E7</f>
        <v>92637.788</v>
      </c>
      <c r="F18" s="30">
        <f>Operating!$F$37*F7</f>
        <v>95416.92164</v>
      </c>
      <c r="G18" s="30">
        <f>Operating!$F$37*G7</f>
        <v>98279.429289199994</v>
      </c>
      <c r="H18" s="30">
        <f>Operating!$F$37*H7</f>
        <v>101227.81216787599</v>
      </c>
      <c r="I18" s="30">
        <f>Operating!$F$37*I7</f>
        <v>104264.64653291227</v>
      </c>
      <c r="J18" s="30">
        <f>Operating!$F$37*J7</f>
        <v>107392.58592889964</v>
      </c>
      <c r="K18" s="30">
        <f>Operating!$F$37*K7</f>
        <v>110614.36350676662</v>
      </c>
      <c r="L18" s="30">
        <f>Operating!$F$37*L7</f>
        <v>113932.79441196962</v>
      </c>
      <c r="M18" s="30">
        <f>Operating!$F$37*M7</f>
        <v>117350.77824432871</v>
      </c>
    </row>
    <row r="19" spans="1:13" x14ac:dyDescent="0.25">
      <c r="A19" s="8" t="s">
        <v>703</v>
      </c>
      <c r="C19" s="30">
        <f>IF(C$4&lt;=chap_years,Operating!$F$39*C7,0)</f>
        <v>-43552.752</v>
      </c>
      <c r="D19" s="30">
        <f>IF(D$4&lt;=chap_years,Operating!$F$39*D7,0)</f>
        <v>-44859.334560000003</v>
      </c>
      <c r="E19" s="30">
        <f>IF(E$4&lt;=chap_years,Operating!$F$39*E7,0)</f>
        <v>-46205.114596799998</v>
      </c>
      <c r="F19" s="30">
        <f>IF(F$4&lt;=chap_years,Operating!$F$39*F7,0)</f>
        <v>-47591.268034704</v>
      </c>
      <c r="G19" s="30">
        <f>IF(G$4&lt;=chap_years,Operating!$F$39*G7,0)</f>
        <v>-49019.006075745114</v>
      </c>
      <c r="H19" s="30">
        <f>IF(H$4&lt;=chap_years,Operating!$F$39*H7,0)</f>
        <v>-50489.576258017471</v>
      </c>
      <c r="I19" s="30">
        <f>IF(I$4&lt;=chap_years,Operating!$F$39*I7,0)</f>
        <v>-52004.263545757996</v>
      </c>
      <c r="J19" s="30">
        <f>IF(J$4&lt;=chap_years,Operating!$F$39*J7,0)</f>
        <v>-53564.391452130738</v>
      </c>
      <c r="K19" s="30">
        <f>IF(K$4&lt;=chap_years,Operating!$F$39*K7,0)</f>
        <v>-55171.323195694655</v>
      </c>
      <c r="L19" s="30">
        <f>IF(L$4&lt;=chap_years,Operating!$F$39*L7,0)</f>
        <v>-56826.462891565498</v>
      </c>
      <c r="M19" s="30">
        <f>IF(M$4&lt;=chap_years,Operating!$F$39*M7,0)</f>
        <v>0</v>
      </c>
    </row>
    <row r="20" spans="1:13" x14ac:dyDescent="0.25">
      <c r="A20" s="32" t="s">
        <v>704</v>
      </c>
      <c r="C20" s="34">
        <f t="shared" ref="C20:M20" si="7">SUM(C16:C19)</f>
        <v>203434.04799999998</v>
      </c>
      <c r="D20" s="34">
        <f t="shared" si="7"/>
        <v>209247.10144</v>
      </c>
      <c r="E20" s="34">
        <f t="shared" si="7"/>
        <v>215228.74712319998</v>
      </c>
      <c r="F20" s="34">
        <f t="shared" si="7"/>
        <v>221383.92682969596</v>
      </c>
      <c r="G20" s="34">
        <f t="shared" si="7"/>
        <v>227717.72827324289</v>
      </c>
      <c r="H20" s="34">
        <f t="shared" si="7"/>
        <v>234235.38943286924</v>
      </c>
      <c r="I20" s="34">
        <f t="shared" si="7"/>
        <v>240942.30301351307</v>
      </c>
      <c r="J20" s="34">
        <f t="shared" si="7"/>
        <v>247844.02103952924</v>
      </c>
      <c r="K20" s="34">
        <f t="shared" si="7"/>
        <v>254946.25958503823</v>
      </c>
      <c r="L20" s="34">
        <f t="shared" si="7"/>
        <v>262254.90364519885</v>
      </c>
      <c r="M20" s="34">
        <f t="shared" si="7"/>
        <v>328307.26893092901</v>
      </c>
    </row>
    <row r="21" spans="1:13" x14ac:dyDescent="0.25">
      <c r="A21" s="32" t="s">
        <v>501</v>
      </c>
      <c r="C21" s="34">
        <f t="shared" ref="C21:M21" si="8">C14-C20</f>
        <v>376501.95200000005</v>
      </c>
      <c r="D21" s="34">
        <f t="shared" si="8"/>
        <v>382287.61855999997</v>
      </c>
      <c r="E21" s="34">
        <f t="shared" si="8"/>
        <v>388136.66727680014</v>
      </c>
      <c r="F21" s="34">
        <f t="shared" si="8"/>
        <v>394048.79585830402</v>
      </c>
      <c r="G21" s="34">
        <f t="shared" si="8"/>
        <v>400023.64886851708</v>
      </c>
      <c r="H21" s="34">
        <f t="shared" si="8"/>
        <v>406060.81525172584</v>
      </c>
      <c r="I21" s="34">
        <f t="shared" si="8"/>
        <v>412159.82576477411</v>
      </c>
      <c r="J21" s="34">
        <f t="shared" si="8"/>
        <v>418320.15031432349</v>
      </c>
      <c r="K21" s="34">
        <f t="shared" si="8"/>
        <v>424541.1951958916</v>
      </c>
      <c r="L21" s="34">
        <f t="shared" si="8"/>
        <v>430822.3002313496</v>
      </c>
      <c r="M21" s="34">
        <f t="shared" si="8"/>
        <v>378631.47902315052</v>
      </c>
    </row>
    <row r="22" spans="1:13" x14ac:dyDescent="0.25">
      <c r="A22" s="5" t="s">
        <v>705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8" t="s">
        <v>706</v>
      </c>
      <c r="C23" s="37">
        <f t="shared" ref="C23:M23" si="9">dsN_</f>
        <v>191090.79276812787</v>
      </c>
      <c r="D23" s="37">
        <f t="shared" si="9"/>
        <v>191090.79276812787</v>
      </c>
      <c r="E23" s="37">
        <f t="shared" si="9"/>
        <v>191090.79276812787</v>
      </c>
      <c r="F23" s="37">
        <f t="shared" si="9"/>
        <v>191090.79276812787</v>
      </c>
      <c r="G23" s="37">
        <f t="shared" si="9"/>
        <v>191090.79276812787</v>
      </c>
      <c r="H23" s="37">
        <f t="shared" si="9"/>
        <v>191090.79276812787</v>
      </c>
      <c r="I23" s="37">
        <f t="shared" si="9"/>
        <v>191090.79276812787</v>
      </c>
      <c r="J23" s="37">
        <f t="shared" si="9"/>
        <v>191090.79276812787</v>
      </c>
      <c r="K23" s="37">
        <f t="shared" si="9"/>
        <v>191090.79276812787</v>
      </c>
      <c r="L23" s="37">
        <f t="shared" si="9"/>
        <v>191090.79276812787</v>
      </c>
      <c r="M23" s="37">
        <f t="shared" si="9"/>
        <v>191090.79276812787</v>
      </c>
    </row>
    <row r="24" spans="1:13" x14ac:dyDescent="0.25">
      <c r="A24" s="8" t="s">
        <v>707</v>
      </c>
      <c r="C24" s="37">
        <f t="shared" ref="C24:M24" si="10">ds16_</f>
        <v>67831.353780062171</v>
      </c>
      <c r="D24" s="37">
        <f t="shared" si="10"/>
        <v>67831.353780062171</v>
      </c>
      <c r="E24" s="37">
        <f t="shared" si="10"/>
        <v>67831.353780062171</v>
      </c>
      <c r="F24" s="37">
        <f t="shared" si="10"/>
        <v>67831.353780062171</v>
      </c>
      <c r="G24" s="37">
        <f t="shared" si="10"/>
        <v>67831.353780062171</v>
      </c>
      <c r="H24" s="37">
        <f t="shared" si="10"/>
        <v>67831.353780062171</v>
      </c>
      <c r="I24" s="37">
        <f t="shared" si="10"/>
        <v>67831.353780062171</v>
      </c>
      <c r="J24" s="37">
        <f t="shared" si="10"/>
        <v>67831.353780062171</v>
      </c>
      <c r="K24" s="37">
        <f t="shared" si="10"/>
        <v>67831.353780062171</v>
      </c>
      <c r="L24" s="37">
        <f t="shared" si="10"/>
        <v>67831.353780062171</v>
      </c>
      <c r="M24" s="37">
        <f t="shared" si="10"/>
        <v>67831.353780062171</v>
      </c>
    </row>
    <row r="25" spans="1:13" x14ac:dyDescent="0.25">
      <c r="A25" s="32" t="s">
        <v>708</v>
      </c>
      <c r="C25" s="34">
        <f t="shared" ref="C25:M25" si="11">C23+C24</f>
        <v>258922.14654819004</v>
      </c>
      <c r="D25" s="34">
        <f t="shared" si="11"/>
        <v>258922.14654819004</v>
      </c>
      <c r="E25" s="34">
        <f t="shared" si="11"/>
        <v>258922.14654819004</v>
      </c>
      <c r="F25" s="34">
        <f t="shared" si="11"/>
        <v>258922.14654819004</v>
      </c>
      <c r="G25" s="34">
        <f t="shared" si="11"/>
        <v>258922.14654819004</v>
      </c>
      <c r="H25" s="34">
        <f t="shared" si="11"/>
        <v>258922.14654819004</v>
      </c>
      <c r="I25" s="34">
        <f t="shared" si="11"/>
        <v>258922.14654819004</v>
      </c>
      <c r="J25" s="34">
        <f t="shared" si="11"/>
        <v>258922.14654819004</v>
      </c>
      <c r="K25" s="34">
        <f t="shared" si="11"/>
        <v>258922.14654819004</v>
      </c>
      <c r="L25" s="34">
        <f t="shared" si="11"/>
        <v>258922.14654819004</v>
      </c>
      <c r="M25" s="34">
        <f t="shared" si="11"/>
        <v>258922.14654819004</v>
      </c>
    </row>
    <row r="26" spans="1:13" x14ac:dyDescent="0.25">
      <c r="A26" s="8" t="s">
        <v>709</v>
      </c>
      <c r="C26" s="43">
        <f t="shared" ref="C26:M26" si="12">C21/C25</f>
        <v>1.4541125856529475</v>
      </c>
      <c r="D26" s="43">
        <f t="shared" si="12"/>
        <v>1.4764577833779444</v>
      </c>
      <c r="E26" s="43">
        <f t="shared" si="12"/>
        <v>1.4990477734378005</v>
      </c>
      <c r="F26" s="43">
        <f t="shared" si="12"/>
        <v>1.5218813883306213</v>
      </c>
      <c r="G26" s="43">
        <f t="shared" si="12"/>
        <v>1.5449572553040207</v>
      </c>
      <c r="H26" s="43">
        <f t="shared" si="12"/>
        <v>1.5682737867930918</v>
      </c>
      <c r="I26" s="43">
        <f t="shared" si="12"/>
        <v>1.5918291705034346</v>
      </c>
      <c r="J26" s="43">
        <f t="shared" si="12"/>
        <v>1.6156213591272179</v>
      </c>
      <c r="K26" s="43">
        <f t="shared" si="12"/>
        <v>1.6396480596798888</v>
      </c>
      <c r="L26" s="43">
        <f t="shared" si="12"/>
        <v>1.663906722444717</v>
      </c>
      <c r="M26" s="43">
        <f t="shared" si="12"/>
        <v>1.4623371699596213</v>
      </c>
    </row>
    <row r="27" spans="1:13" x14ac:dyDescent="0.25">
      <c r="A27" s="32" t="s">
        <v>710</v>
      </c>
      <c r="C27" s="34">
        <f t="shared" ref="C27:M27" si="13">C21-C25</f>
        <v>117579.80545181001</v>
      </c>
      <c r="D27" s="34">
        <f t="shared" si="13"/>
        <v>123365.47201180994</v>
      </c>
      <c r="E27" s="34">
        <f t="shared" si="13"/>
        <v>129214.52072861011</v>
      </c>
      <c r="F27" s="34">
        <f t="shared" si="13"/>
        <v>135126.64931011398</v>
      </c>
      <c r="G27" s="34">
        <f t="shared" si="13"/>
        <v>141101.50232032704</v>
      </c>
      <c r="H27" s="34">
        <f t="shared" si="13"/>
        <v>147138.6687035358</v>
      </c>
      <c r="I27" s="34">
        <f t="shared" si="13"/>
        <v>153237.67921658407</v>
      </c>
      <c r="J27" s="34">
        <f t="shared" si="13"/>
        <v>159398.00376613345</v>
      </c>
      <c r="K27" s="34">
        <f t="shared" si="13"/>
        <v>165619.04864770157</v>
      </c>
      <c r="L27" s="34">
        <f t="shared" si="13"/>
        <v>171900.15368315956</v>
      </c>
      <c r="M27" s="34">
        <f t="shared" si="13"/>
        <v>119709.33247496048</v>
      </c>
    </row>
    <row r="28" spans="1:13" x14ac:dyDescent="0.25">
      <c r="A28" s="8" t="s">
        <v>711</v>
      </c>
      <c r="C28" s="37">
        <f>deferred_fee</f>
        <v>222148.98415786057</v>
      </c>
      <c r="D28" s="30">
        <f t="shared" ref="D28:M28" si="14">C30</f>
        <v>163359.08143195556</v>
      </c>
      <c r="E28" s="30">
        <f t="shared" si="14"/>
        <v>101676.3454260506</v>
      </c>
      <c r="F28" s="30">
        <f t="shared" si="14"/>
        <v>37069.085061745543</v>
      </c>
      <c r="G28" s="30">
        <f t="shared" si="14"/>
        <v>0</v>
      </c>
      <c r="H28" s="30">
        <f t="shared" si="14"/>
        <v>0</v>
      </c>
      <c r="I28" s="30">
        <f t="shared" si="14"/>
        <v>0</v>
      </c>
      <c r="J28" s="30">
        <f t="shared" si="14"/>
        <v>0</v>
      </c>
      <c r="K28" s="30">
        <f t="shared" si="14"/>
        <v>0</v>
      </c>
      <c r="L28" s="30">
        <f t="shared" si="14"/>
        <v>0</v>
      </c>
      <c r="M28" s="30">
        <f t="shared" si="14"/>
        <v>0</v>
      </c>
    </row>
    <row r="29" spans="1:13" x14ac:dyDescent="0.25">
      <c r="A29" s="8" t="s">
        <v>712</v>
      </c>
      <c r="C29" s="30">
        <f t="shared" ref="C29:M29" si="15">MIN(C28,MAX(C27,0)*dev_fee_sweep)</f>
        <v>58789.902725905005</v>
      </c>
      <c r="D29" s="30">
        <f t="shared" si="15"/>
        <v>61682.736005904968</v>
      </c>
      <c r="E29" s="30">
        <f t="shared" si="15"/>
        <v>64607.260364305053</v>
      </c>
      <c r="F29" s="30">
        <f t="shared" si="15"/>
        <v>37069.085061745543</v>
      </c>
      <c r="G29" s="30">
        <f t="shared" si="15"/>
        <v>0</v>
      </c>
      <c r="H29" s="30">
        <f t="shared" si="15"/>
        <v>0</v>
      </c>
      <c r="I29" s="30">
        <f t="shared" si="15"/>
        <v>0</v>
      </c>
      <c r="J29" s="30">
        <f t="shared" si="15"/>
        <v>0</v>
      </c>
      <c r="K29" s="30">
        <f t="shared" si="15"/>
        <v>0</v>
      </c>
      <c r="L29" s="30">
        <f t="shared" si="15"/>
        <v>0</v>
      </c>
      <c r="M29" s="30">
        <f t="shared" si="15"/>
        <v>0</v>
      </c>
    </row>
    <row r="30" spans="1:13" x14ac:dyDescent="0.25">
      <c r="A30" s="8" t="s">
        <v>713</v>
      </c>
      <c r="C30" s="30">
        <f t="shared" ref="C30:M30" si="16">C28-C29</f>
        <v>163359.08143195556</v>
      </c>
      <c r="D30" s="30">
        <f t="shared" si="16"/>
        <v>101676.3454260506</v>
      </c>
      <c r="E30" s="30">
        <f t="shared" si="16"/>
        <v>37069.085061745543</v>
      </c>
      <c r="F30" s="30">
        <f t="shared" si="16"/>
        <v>0</v>
      </c>
      <c r="G30" s="30">
        <f t="shared" si="16"/>
        <v>0</v>
      </c>
      <c r="H30" s="30">
        <f t="shared" si="16"/>
        <v>0</v>
      </c>
      <c r="I30" s="30">
        <f t="shared" si="16"/>
        <v>0</v>
      </c>
      <c r="J30" s="30">
        <f t="shared" si="16"/>
        <v>0</v>
      </c>
      <c r="K30" s="30">
        <f t="shared" si="16"/>
        <v>0</v>
      </c>
      <c r="L30" s="30">
        <f t="shared" si="16"/>
        <v>0</v>
      </c>
      <c r="M30" s="30">
        <f t="shared" si="16"/>
        <v>0</v>
      </c>
    </row>
    <row r="31" spans="1:13" x14ac:dyDescent="0.25">
      <c r="A31" s="32" t="s">
        <v>714</v>
      </c>
      <c r="C31" s="34">
        <f t="shared" ref="C31:M31" si="17">C27-C29</f>
        <v>58789.902725905005</v>
      </c>
      <c r="D31" s="34">
        <f t="shared" si="17"/>
        <v>61682.736005904968</v>
      </c>
      <c r="E31" s="34">
        <f t="shared" si="17"/>
        <v>64607.260364305053</v>
      </c>
      <c r="F31" s="34">
        <f t="shared" si="17"/>
        <v>98057.564248368435</v>
      </c>
      <c r="G31" s="34">
        <f t="shared" si="17"/>
        <v>141101.50232032704</v>
      </c>
      <c r="H31" s="34">
        <f t="shared" si="17"/>
        <v>147138.6687035358</v>
      </c>
      <c r="I31" s="34">
        <f t="shared" si="17"/>
        <v>153237.67921658407</v>
      </c>
      <c r="J31" s="34">
        <f t="shared" si="17"/>
        <v>159398.00376613345</v>
      </c>
      <c r="K31" s="34">
        <f t="shared" si="17"/>
        <v>165619.04864770157</v>
      </c>
      <c r="L31" s="34">
        <f t="shared" si="17"/>
        <v>171900.15368315956</v>
      </c>
      <c r="M31" s="34">
        <f t="shared" si="17"/>
        <v>119709.33247496048</v>
      </c>
    </row>
    <row r="33" spans="1:13" ht="27.95" customHeight="1" x14ac:dyDescent="0.25">
      <c r="A33" s="11" t="s">
        <v>715</v>
      </c>
      <c r="B33" s="12" t="s">
        <v>580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x14ac:dyDescent="0.25">
      <c r="A34" s="8" t="s">
        <v>716</v>
      </c>
      <c r="B34" s="30">
        <f>M21</f>
        <v>378631.47902315052</v>
      </c>
    </row>
    <row r="35" spans="1:13" x14ac:dyDescent="0.25">
      <c r="A35" s="8" t="s">
        <v>717</v>
      </c>
      <c r="B35" s="30">
        <f>$B$34/exit_cap</f>
        <v>4732893.4877893813</v>
      </c>
    </row>
    <row r="36" spans="1:13" x14ac:dyDescent="0.25">
      <c r="A36" s="8" t="s">
        <v>718</v>
      </c>
      <c r="B36" s="30">
        <f>-$B$35*sale_cost</f>
        <v>-141986.80463368143</v>
      </c>
    </row>
    <row r="37" spans="1:13" x14ac:dyDescent="0.25">
      <c r="A37" s="32" t="s">
        <v>719</v>
      </c>
      <c r="B37" s="34">
        <f>$B$35+$B$36</f>
        <v>4590906.6831556996</v>
      </c>
    </row>
    <row r="38" spans="1:13" x14ac:dyDescent="0.25">
      <c r="A38" s="8" t="s">
        <v>720</v>
      </c>
      <c r="B38" s="30">
        <f>-FV(niif_rate/12,120,niif_*kN_/12,-niif_)</f>
        <v>-2013702.71486544</v>
      </c>
    </row>
    <row r="39" spans="1:13" x14ac:dyDescent="0.25">
      <c r="A39" s="8" t="s">
        <v>721</v>
      </c>
      <c r="B39" s="30">
        <f>-FV(refi1816_rate/12,120,L16_*k16_/12,-L16_)</f>
        <v>-619218.16873554501</v>
      </c>
    </row>
    <row r="40" spans="1:13" x14ac:dyDescent="0.25">
      <c r="A40" s="8" t="s">
        <v>722</v>
      </c>
      <c r="B40" s="30">
        <f>-bdc_gap</f>
        <v>-943873.88738437463</v>
      </c>
    </row>
    <row r="41" spans="1:13" x14ac:dyDescent="0.25">
      <c r="A41" s="32" t="s">
        <v>723</v>
      </c>
      <c r="B41" s="34">
        <f>$B$37+$B$38+$B$39+$B$40</f>
        <v>1014111.9121703398</v>
      </c>
    </row>
    <row r="42" spans="1:13" x14ac:dyDescent="0.25">
      <c r="A42" s="8" t="s">
        <v>724</v>
      </c>
      <c r="B42" s="30">
        <f>L30</f>
        <v>0</v>
      </c>
    </row>
    <row r="43" spans="1:13" x14ac:dyDescent="0.25">
      <c r="A43" s="8" t="s">
        <v>725</v>
      </c>
      <c r="B43" s="30">
        <f>equity_cash+acq_1818+equity_1816_invested+carry_to_date_1816</f>
        <v>1139744</v>
      </c>
    </row>
    <row r="45" spans="1:13" x14ac:dyDescent="0.25">
      <c r="A45" s="50" t="s">
        <v>726</v>
      </c>
      <c r="B45" s="52">
        <v>0</v>
      </c>
      <c r="C45" s="52">
        <v>1</v>
      </c>
      <c r="D45" s="52">
        <v>2</v>
      </c>
      <c r="E45" s="52">
        <v>3</v>
      </c>
      <c r="F45" s="52">
        <v>4</v>
      </c>
      <c r="G45" s="52">
        <v>5</v>
      </c>
      <c r="H45" s="52">
        <v>6</v>
      </c>
      <c r="I45" s="52">
        <v>7</v>
      </c>
      <c r="J45" s="52">
        <v>8</v>
      </c>
      <c r="K45" s="52">
        <v>9</v>
      </c>
      <c r="L45" s="52">
        <v>10</v>
      </c>
    </row>
    <row r="46" spans="1:13" x14ac:dyDescent="0.25">
      <c r="A46" s="8" t="s">
        <v>727</v>
      </c>
      <c r="B46" s="30">
        <f>-$B$43</f>
        <v>-1139744</v>
      </c>
      <c r="C46" s="30">
        <f t="shared" ref="C46:K46" si="18">C31+C29</f>
        <v>117579.80545181001</v>
      </c>
      <c r="D46" s="30">
        <f t="shared" si="18"/>
        <v>123365.47201180994</v>
      </c>
      <c r="E46" s="30">
        <f t="shared" si="18"/>
        <v>129214.52072861011</v>
      </c>
      <c r="F46" s="30">
        <f t="shared" si="18"/>
        <v>135126.64931011398</v>
      </c>
      <c r="G46" s="30">
        <f t="shared" si="18"/>
        <v>141101.50232032704</v>
      </c>
      <c r="H46" s="30">
        <f t="shared" si="18"/>
        <v>147138.6687035358</v>
      </c>
      <c r="I46" s="30">
        <f t="shared" si="18"/>
        <v>153237.67921658407</v>
      </c>
      <c r="J46" s="30">
        <f t="shared" si="18"/>
        <v>159398.00376613345</v>
      </c>
      <c r="K46" s="30">
        <f t="shared" si="18"/>
        <v>165619.04864770157</v>
      </c>
      <c r="L46" s="30">
        <f>L31+L29+$B$41+$B$42</f>
        <v>1186012.0658534993</v>
      </c>
    </row>
    <row r="47" spans="1:13" x14ac:dyDescent="0.25">
      <c r="A47" s="8" t="s">
        <v>728</v>
      </c>
      <c r="B47" s="30">
        <f>-Development_Budget!F15</f>
        <v>-8237802.9772520624</v>
      </c>
      <c r="C47" s="30">
        <f t="shared" ref="C47:K47" si="19">C21</f>
        <v>376501.95200000005</v>
      </c>
      <c r="D47" s="30">
        <f t="shared" si="19"/>
        <v>382287.61855999997</v>
      </c>
      <c r="E47" s="30">
        <f t="shared" si="19"/>
        <v>388136.66727680014</v>
      </c>
      <c r="F47" s="30">
        <f t="shared" si="19"/>
        <v>394048.79585830402</v>
      </c>
      <c r="G47" s="30">
        <f t="shared" si="19"/>
        <v>400023.64886851708</v>
      </c>
      <c r="H47" s="30">
        <f t="shared" si="19"/>
        <v>406060.81525172584</v>
      </c>
      <c r="I47" s="30">
        <f t="shared" si="19"/>
        <v>412159.82576477411</v>
      </c>
      <c r="J47" s="30">
        <f t="shared" si="19"/>
        <v>418320.15031432349</v>
      </c>
      <c r="K47" s="30">
        <f t="shared" si="19"/>
        <v>424541.1951958916</v>
      </c>
      <c r="L47" s="30">
        <f>L21+$B$37</f>
        <v>5021728.9833870493</v>
      </c>
    </row>
    <row r="49" spans="1:13" ht="27.95" customHeight="1" x14ac:dyDescent="0.25">
      <c r="A49" s="11" t="s">
        <v>729</v>
      </c>
      <c r="B49" s="12" t="s">
        <v>48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x14ac:dyDescent="0.25">
      <c r="A50" s="8" t="s">
        <v>730</v>
      </c>
      <c r="B50" s="56">
        <f>IFERROR(IRR(B46:L46),"n/a")</f>
        <v>0.11557354649084139</v>
      </c>
    </row>
    <row r="51" spans="1:13" x14ac:dyDescent="0.25">
      <c r="A51" s="8" t="s">
        <v>731</v>
      </c>
      <c r="B51" s="56">
        <f>IFERROR(IRR(B47:L47),"n/a")</f>
        <v>5.792658040891574E-3</v>
      </c>
    </row>
    <row r="52" spans="1:13" x14ac:dyDescent="0.25">
      <c r="A52" s="8" t="s">
        <v>732</v>
      </c>
      <c r="B52" s="56">
        <f>C21/Development_Budget!F15</f>
        <v>4.5704170522125338E-2</v>
      </c>
    </row>
    <row r="53" spans="1:13" x14ac:dyDescent="0.25">
      <c r="A53" s="8" t="s">
        <v>733</v>
      </c>
      <c r="B53" s="56">
        <f>AVERAGE(C31:L31)/$B$43</f>
        <v>0.10717604301333676</v>
      </c>
    </row>
    <row r="54" spans="1:13" x14ac:dyDescent="0.25">
      <c r="A54" s="8" t="s">
        <v>734</v>
      </c>
      <c r="B54" s="57">
        <f>SUM(C46:L46)/$B$43</f>
        <v>2.1564433908054137</v>
      </c>
    </row>
    <row r="55" spans="1:13" x14ac:dyDescent="0.25">
      <c r="A55" s="8" t="s">
        <v>735</v>
      </c>
      <c r="B55" s="57">
        <f>MIN(C26:L26)</f>
        <v>1.4541125856529475</v>
      </c>
    </row>
  </sheetData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9"/>
  <sheetViews>
    <sheetView showGridLines="0" workbookViewId="0"/>
  </sheetViews>
  <sheetFormatPr defaultRowHeight="15" x14ac:dyDescent="0.25"/>
  <cols>
    <col min="1" max="1" width="52" customWidth="1"/>
    <col min="2" max="2" width="13" customWidth="1"/>
    <col min="3" max="4" width="12" customWidth="1"/>
    <col min="5" max="7" width="14" customWidth="1"/>
    <col min="8" max="8" width="12" customWidth="1"/>
  </cols>
  <sheetData>
    <row r="1" spans="1:8" ht="20.25" x14ac:dyDescent="0.3">
      <c r="A1" s="1" t="s">
        <v>736</v>
      </c>
    </row>
    <row r="2" spans="1:8" x14ac:dyDescent="0.25">
      <c r="A2" s="2" t="s">
        <v>737</v>
      </c>
    </row>
    <row r="4" spans="1:8" ht="27.95" customHeight="1" x14ac:dyDescent="0.25">
      <c r="A4" s="11" t="s">
        <v>738</v>
      </c>
      <c r="B4" s="12" t="s">
        <v>739</v>
      </c>
      <c r="C4" s="12" t="s">
        <v>740</v>
      </c>
      <c r="D4" s="12" t="s">
        <v>741</v>
      </c>
      <c r="E4" s="12" t="s">
        <v>742</v>
      </c>
      <c r="F4" s="12" t="s">
        <v>743</v>
      </c>
      <c r="G4" s="12" t="s">
        <v>744</v>
      </c>
      <c r="H4" s="12" t="s">
        <v>745</v>
      </c>
    </row>
    <row r="5" spans="1:8" x14ac:dyDescent="0.25">
      <c r="A5" s="3" t="s">
        <v>746</v>
      </c>
      <c r="B5" s="28">
        <v>376501.95199999999</v>
      </c>
      <c r="C5" s="58">
        <v>1.4541125856529451</v>
      </c>
      <c r="D5" s="58">
        <v>1.336756984989621</v>
      </c>
      <c r="E5" s="58">
        <v>1.274707213631</v>
      </c>
      <c r="F5" s="28">
        <v>943873.88738437463</v>
      </c>
      <c r="G5" s="28">
        <v>2724000</v>
      </c>
      <c r="H5" s="40">
        <v>0.1155735464908408</v>
      </c>
    </row>
    <row r="6" spans="1:8" x14ac:dyDescent="0.25">
      <c r="A6" s="8" t="s">
        <v>747</v>
      </c>
      <c r="B6" s="28">
        <v>326663.43199999997</v>
      </c>
      <c r="C6" s="58">
        <v>1.262079177098937</v>
      </c>
      <c r="D6" s="58">
        <v>1.274707213631</v>
      </c>
      <c r="E6" s="58">
        <v>1.274707213631</v>
      </c>
      <c r="F6" s="28">
        <v>943549.37618437503</v>
      </c>
      <c r="G6" s="28">
        <v>2598000</v>
      </c>
      <c r="H6" s="40">
        <v>4.7460812714218434E-3</v>
      </c>
    </row>
    <row r="7" spans="1:8" x14ac:dyDescent="0.25">
      <c r="A7" s="8" t="s">
        <v>748</v>
      </c>
      <c r="B7" s="28">
        <v>336490.23200000002</v>
      </c>
      <c r="C7" s="58">
        <v>1.299731482182056</v>
      </c>
      <c r="D7" s="58">
        <v>1.1918608358925931</v>
      </c>
      <c r="E7" s="58">
        <v>1.274707213631</v>
      </c>
      <c r="F7" s="28">
        <v>943116.1017843755</v>
      </c>
      <c r="G7" s="28">
        <v>2429000</v>
      </c>
      <c r="H7" s="40">
        <v>3.299499022720942E-2</v>
      </c>
    </row>
    <row r="8" spans="1:8" x14ac:dyDescent="0.25">
      <c r="A8" s="8" t="s">
        <v>749</v>
      </c>
      <c r="B8" s="28">
        <v>328621.95199999999</v>
      </c>
      <c r="C8" s="58">
        <v>1.269465916448935</v>
      </c>
      <c r="D8" s="58">
        <v>1.2061070481802949</v>
      </c>
      <c r="E8" s="58">
        <v>1.231008090931077</v>
      </c>
      <c r="F8" s="28">
        <v>943190.6073843753</v>
      </c>
      <c r="G8" s="28">
        <v>2458000</v>
      </c>
      <c r="H8" s="40">
        <v>1.0796490547343111E-2</v>
      </c>
    </row>
    <row r="9" spans="1:8" x14ac:dyDescent="0.25">
      <c r="A9" s="8" t="s">
        <v>750</v>
      </c>
      <c r="B9" s="28">
        <v>376501.95199999999</v>
      </c>
      <c r="C9" s="58">
        <v>1.206380496363614</v>
      </c>
      <c r="D9" s="58">
        <v>1.1056562280751581</v>
      </c>
      <c r="E9" s="58">
        <v>1.054333723742906</v>
      </c>
      <c r="F9" s="28">
        <v>1011387.146827694</v>
      </c>
      <c r="G9" s="28">
        <v>2297000</v>
      </c>
      <c r="H9" s="40">
        <v>5.311828862820811E-2</v>
      </c>
    </row>
    <row r="10" spans="1:8" x14ac:dyDescent="0.25">
      <c r="A10" s="8" t="s">
        <v>751</v>
      </c>
      <c r="B10" s="28">
        <v>376501.95199999999</v>
      </c>
      <c r="C10" s="58">
        <v>1.426996423912666</v>
      </c>
      <c r="D10" s="58">
        <v>1.336756984989621</v>
      </c>
      <c r="E10" s="58">
        <v>1.274707213631</v>
      </c>
      <c r="F10" s="28">
        <v>1484424.779860724</v>
      </c>
      <c r="G10" s="28">
        <v>2724000</v>
      </c>
      <c r="H10" s="40">
        <v>7.5144516322683486E-2</v>
      </c>
    </row>
    <row r="11" spans="1:8" x14ac:dyDescent="0.25">
      <c r="A11" s="8" t="s">
        <v>752</v>
      </c>
      <c r="B11" s="28">
        <v>376501.95199999999</v>
      </c>
      <c r="C11" s="58">
        <v>1.4541125856529451</v>
      </c>
      <c r="D11" s="58">
        <v>1.336756984989621</v>
      </c>
      <c r="E11" s="58">
        <v>1.274707213631</v>
      </c>
      <c r="F11" s="28">
        <v>1819873.5881043749</v>
      </c>
      <c r="G11" s="28">
        <v>2724000</v>
      </c>
      <c r="H11" s="40">
        <v>5.6502595143740668E-2</v>
      </c>
    </row>
    <row r="12" spans="1:8" x14ac:dyDescent="0.25">
      <c r="A12" s="8" t="s">
        <v>753</v>
      </c>
      <c r="B12" s="28">
        <v>344313.93199999997</v>
      </c>
      <c r="C12" s="58">
        <v>1.327207510783837</v>
      </c>
      <c r="D12" s="58">
        <v>1.225411902938401</v>
      </c>
      <c r="E12" s="58">
        <v>1.1638519981957689</v>
      </c>
      <c r="F12" s="28">
        <v>954937.93778437469</v>
      </c>
      <c r="G12" s="28">
        <v>2497000</v>
      </c>
      <c r="H12" s="40">
        <v>4.547599943479097E-2</v>
      </c>
    </row>
    <row r="13" spans="1:8" x14ac:dyDescent="0.25">
      <c r="A13" s="8" t="s">
        <v>754</v>
      </c>
      <c r="B13" s="28">
        <v>376501.95199999999</v>
      </c>
      <c r="C13" s="58">
        <v>1.4541125856529451</v>
      </c>
      <c r="D13" s="58">
        <v>1.336756984989621</v>
      </c>
      <c r="E13" s="58">
        <v>1.274707213631</v>
      </c>
      <c r="F13" s="28">
        <v>943873.88738437463</v>
      </c>
      <c r="G13" s="28">
        <v>2724000</v>
      </c>
      <c r="H13" s="40">
        <v>8.5636900552443884E-2</v>
      </c>
    </row>
    <row r="14" spans="1:8" x14ac:dyDescent="0.25">
      <c r="A14" s="8" t="s">
        <v>755</v>
      </c>
      <c r="B14" s="28">
        <v>326663.43199999997</v>
      </c>
      <c r="C14" s="58">
        <v>1.1326553274564439</v>
      </c>
      <c r="D14" s="58">
        <v>1.1565722831099901</v>
      </c>
      <c r="E14" s="58">
        <v>1.1565722831099901</v>
      </c>
      <c r="F14" s="28">
        <v>1337438.151496992</v>
      </c>
      <c r="G14" s="28">
        <v>2520000</v>
      </c>
      <c r="H14" s="40" t="s">
        <v>756</v>
      </c>
    </row>
    <row r="15" spans="1:8" x14ac:dyDescent="0.25">
      <c r="A15" s="8" t="s">
        <v>757</v>
      </c>
      <c r="B15" s="28">
        <v>376501.95199999999</v>
      </c>
      <c r="C15" s="58">
        <v>1.4541125856529451</v>
      </c>
      <c r="D15" s="58">
        <v>1.336756984989621</v>
      </c>
      <c r="E15" s="58">
        <v>1.1487463567455161</v>
      </c>
      <c r="F15" s="28">
        <v>943873.88738437463</v>
      </c>
      <c r="G15" s="28">
        <v>2503000</v>
      </c>
      <c r="H15" s="40">
        <v>0.1155735464908408</v>
      </c>
    </row>
    <row r="16" spans="1:8" x14ac:dyDescent="0.25">
      <c r="A16" s="8" t="s">
        <v>758</v>
      </c>
      <c r="B16" s="28">
        <v>407281.95199999999</v>
      </c>
      <c r="C16" s="58">
        <v>1.5728381337079</v>
      </c>
      <c r="D16" s="58">
        <v>1.444140494695916</v>
      </c>
      <c r="E16" s="58">
        <v>1.382090723337295</v>
      </c>
      <c r="F16" s="28">
        <v>944435.48738437518</v>
      </c>
      <c r="G16" s="28">
        <v>2943000</v>
      </c>
      <c r="H16" s="40">
        <v>0.16254330057515409</v>
      </c>
    </row>
    <row r="17" spans="1:8" x14ac:dyDescent="0.25">
      <c r="A17" s="8" t="s">
        <v>759</v>
      </c>
      <c r="B17" s="28">
        <v>376501.95199999999</v>
      </c>
      <c r="C17" s="58">
        <v>1.5338015178240809</v>
      </c>
      <c r="D17" s="58">
        <v>1.336756984989621</v>
      </c>
      <c r="E17" s="58">
        <v>1.274707213631</v>
      </c>
      <c r="F17" s="28">
        <v>943873.88738437463</v>
      </c>
      <c r="G17" s="28">
        <v>2724000</v>
      </c>
      <c r="H17" s="40">
        <v>0.12949429722515901</v>
      </c>
    </row>
    <row r="18" spans="1:8" ht="42" customHeight="1" x14ac:dyDescent="0.25">
      <c r="A18" s="64" t="s">
        <v>760</v>
      </c>
      <c r="B18" s="65"/>
      <c r="C18" s="65"/>
      <c r="D18" s="65"/>
      <c r="E18" s="65"/>
      <c r="F18" s="65"/>
      <c r="G18" s="65"/>
      <c r="H18" s="65"/>
    </row>
    <row r="19" spans="1:8" x14ac:dyDescent="0.25">
      <c r="A19" s="3" t="s">
        <v>761</v>
      </c>
      <c r="B19" s="37">
        <f>Operating!F41</f>
        <v>376501.95199999999</v>
      </c>
      <c r="C19" s="44">
        <f>Debt_Metrics!D33</f>
        <v>1.4541125856529473</v>
      </c>
      <c r="D19" s="44">
        <f>Debt_Metrics!C33</f>
        <v>1.3367569849896257</v>
      </c>
      <c r="E19" s="44">
        <f>Debt_Metrics!C35</f>
        <v>1.2747072136310047</v>
      </c>
      <c r="F19" s="37">
        <f>bdc_gap</f>
        <v>943873.88738437463</v>
      </c>
      <c r="G19" s="37">
        <f>niif_</f>
        <v>2724000</v>
      </c>
      <c r="H19" s="45">
        <f>Pro_Forma!B50</f>
        <v>0.11557354649084139</v>
      </c>
    </row>
    <row r="21" spans="1:8" x14ac:dyDescent="0.25">
      <c r="A21" s="5" t="s">
        <v>762</v>
      </c>
      <c r="B21" s="6"/>
      <c r="C21" s="6"/>
      <c r="D21" s="6"/>
      <c r="E21" s="6"/>
      <c r="F21" s="6"/>
      <c r="G21" s="6"/>
      <c r="H21" s="6"/>
    </row>
    <row r="22" spans="1:8" x14ac:dyDescent="0.25">
      <c r="A22" s="3" t="s">
        <v>763</v>
      </c>
      <c r="B22" s="59">
        <v>0.04</v>
      </c>
      <c r="C22" s="59">
        <v>4.4999999999999998E-2</v>
      </c>
      <c r="D22" s="59">
        <v>0.05</v>
      </c>
      <c r="E22" s="59">
        <v>5.5E-2</v>
      </c>
      <c r="F22" s="59">
        <v>0.06</v>
      </c>
      <c r="G22" s="59">
        <v>7.0000000000000007E-2</v>
      </c>
      <c r="H22" s="59">
        <v>0.08</v>
      </c>
    </row>
    <row r="23" spans="1:8" x14ac:dyDescent="0.25">
      <c r="A23" s="60">
        <v>-0.2</v>
      </c>
      <c r="B23" s="61">
        <f>(Debt_Metrics!$C$32+(Operating!$D$11+Operating!$E$11)*$A23*(1-vac_res-loss_res)*(1-mgmt_pct))/(niif_*(12*(B$22/12)/(1-(1+B$22/12)^(-niif_amort*12))))</f>
        <v>1.1595346951643914</v>
      </c>
      <c r="C23" s="61">
        <f>(Debt_Metrics!$C$32+(Operating!$D$11+Operating!$E$11)*$A23*(1-vac_res-loss_res)*(1-mgmt_pct))/(niif_*(12*(C$22/12)/(1-(1+C$22/12)^(-niif_amort*12))))</f>
        <v>1.10113236267755</v>
      </c>
      <c r="D23" s="61">
        <f>(Debt_Metrics!$C$32+(Operating!$D$11+Operating!$E$11)*$A23*(1-vac_res-loss_res)*(1-mgmt_pct))/(niif_*(12*(D$22/12)/(1-(1+D$22/12)^(-niif_amort*12))))</f>
        <v>1.0469646867955691</v>
      </c>
      <c r="E23" s="61">
        <f>(Debt_Metrics!$C$32+(Operating!$D$11+Operating!$E$11)*$A23*(1-vac_res-loss_res)*(1-mgmt_pct))/(niif_*(12*(E$22/12)/(1-(1+E$22/12)^(-niif_amort*12))))</f>
        <v>0.99667415051449304</v>
      </c>
      <c r="F23" s="61">
        <f>(Debt_Metrics!$C$32+(Operating!$D$11+Operating!$E$11)*$A23*(1-vac_res-loss_res)*(1-mgmt_pct))/(niif_*(12*(F$22/12)/(1-(1+F$22/12)^(-niif_amort*12))))</f>
        <v>0.94993605213346244</v>
      </c>
      <c r="G23" s="61">
        <f>(Debt_Metrics!$C$32+(Operating!$D$11+Operating!$E$11)*$A23*(1-vac_res-loss_res)*(1-mgmt_pct))/(niif_*(12*(G$22/12)/(1-(1+G$22/12)^(-niif_amort*12))))</f>
        <v>0.8659637013523902</v>
      </c>
      <c r="H23" s="61">
        <f>(Debt_Metrics!$C$32+(Operating!$D$11+Operating!$E$11)*$A23*(1-vac_res-loss_res)*(1-mgmt_pct))/(niif_*(12*(H$22/12)/(1-(1+H$22/12)^(-niif_amort*12))))</f>
        <v>0.79299335042273644</v>
      </c>
    </row>
    <row r="24" spans="1:8" x14ac:dyDescent="0.25">
      <c r="A24" s="60">
        <v>-0.1</v>
      </c>
      <c r="B24" s="61">
        <f>(Debt_Metrics!$C$32+(Operating!$D$11+Operating!$E$11)*$A24*(1-vac_res-loss_res)*(1-mgmt_pct))/(niif_*(12*(B$22/12)/(1-(1+B$22/12)^(-niif_amort*12))))</f>
        <v>1.3200101287608665</v>
      </c>
      <c r="C24" s="61">
        <f>(Debt_Metrics!$C$32+(Operating!$D$11+Operating!$E$11)*$A24*(1-vac_res-loss_res)*(1-mgmt_pct))/(niif_*(12*(C$22/12)/(1-(1+C$22/12)^(-niif_amort*12))))</f>
        <v>1.2535251233984692</v>
      </c>
      <c r="D24" s="61">
        <f>(Debt_Metrics!$C$32+(Operating!$D$11+Operating!$E$11)*$A24*(1-vac_res-loss_res)*(1-mgmt_pct))/(niif_*(12*(D$22/12)/(1-(1+D$22/12)^(-niif_amort*12))))</f>
        <v>1.1918608358925973</v>
      </c>
      <c r="E24" s="61">
        <f>(Debt_Metrics!$C$32+(Operating!$D$11+Operating!$E$11)*$A24*(1-vac_res-loss_res)*(1-mgmt_pct))/(niif_*(12*(E$22/12)/(1-(1+E$22/12)^(-niif_amort*12))))</f>
        <v>1.1346102701711251</v>
      </c>
      <c r="F24" s="61">
        <f>(Debt_Metrics!$C$32+(Operating!$D$11+Operating!$E$11)*$A24*(1-vac_res-loss_res)*(1-mgmt_pct))/(niif_*(12*(F$22/12)/(1-(1+F$22/12)^(-niif_amort*12))))</f>
        <v>1.0814037869850091</v>
      </c>
      <c r="G24" s="61">
        <f>(Debt_Metrics!$C$32+(Operating!$D$11+Operating!$E$11)*$A24*(1-vac_res-loss_res)*(1-mgmt_pct))/(niif_*(12*(G$22/12)/(1-(1+G$22/12)^(-niif_amort*12))))</f>
        <v>0.98580996471377391</v>
      </c>
      <c r="H24" s="61">
        <f>(Debt_Metrics!$C$32+(Operating!$D$11+Operating!$E$11)*$A24*(1-vac_res-loss_res)*(1-mgmt_pct))/(niif_*(12*(H$22/12)/(1-(1+H$22/12)^(-niif_amort*12))))</f>
        <v>0.90274077952417331</v>
      </c>
    </row>
    <row r="25" spans="1:8" x14ac:dyDescent="0.25">
      <c r="A25" s="60">
        <v>-0.05</v>
      </c>
      <c r="B25" s="61">
        <f>(Debt_Metrics!$C$32+(Operating!$D$11+Operating!$E$11)*$A25*(1-vac_res-loss_res)*(1-mgmt_pct))/(niif_*(12*(B$22/12)/(1-(1+B$22/12)^(-niif_amort*12))))</f>
        <v>1.4002478455591043</v>
      </c>
      <c r="C25" s="61">
        <f>(Debt_Metrics!$C$32+(Operating!$D$11+Operating!$E$11)*$A25*(1-vac_res-loss_res)*(1-mgmt_pct))/(niif_*(12*(C$22/12)/(1-(1+C$22/12)^(-niif_amort*12))))</f>
        <v>1.3297215037589289</v>
      </c>
      <c r="D25" s="61">
        <f>(Debt_Metrics!$C$32+(Operating!$D$11+Operating!$E$11)*$A25*(1-vac_res-loss_res)*(1-mgmt_pct))/(niif_*(12*(D$22/12)/(1-(1+D$22/12)^(-niif_amort*12))))</f>
        <v>1.2643089104411116</v>
      </c>
      <c r="E25" s="61">
        <f>(Debt_Metrics!$C$32+(Operating!$D$11+Operating!$E$11)*$A25*(1-vac_res-loss_res)*(1-mgmt_pct))/(niif_*(12*(E$22/12)/(1-(1+E$22/12)^(-niif_amort*12))))</f>
        <v>1.2035783299994411</v>
      </c>
      <c r="F25" s="61">
        <f>(Debt_Metrics!$C$32+(Operating!$D$11+Operating!$E$11)*$A25*(1-vac_res-loss_res)*(1-mgmt_pct))/(niif_*(12*(F$22/12)/(1-(1+F$22/12)^(-niif_amort*12))))</f>
        <v>1.1471376544107825</v>
      </c>
      <c r="G25" s="61">
        <f>(Debt_Metrics!$C$32+(Operating!$D$11+Operating!$E$11)*$A25*(1-vac_res-loss_res)*(1-mgmt_pct))/(niif_*(12*(G$22/12)/(1-(1+G$22/12)^(-niif_amort*12))))</f>
        <v>1.0457330963944658</v>
      </c>
      <c r="H25" s="61">
        <f>(Debt_Metrics!$C$32+(Operating!$D$11+Operating!$E$11)*$A25*(1-vac_res-loss_res)*(1-mgmt_pct))/(niif_*(12*(H$22/12)/(1-(1+H$22/12)^(-niif_amort*12))))</f>
        <v>0.95761449407489174</v>
      </c>
    </row>
    <row r="26" spans="1:8" x14ac:dyDescent="0.25">
      <c r="A26" s="60">
        <v>0</v>
      </c>
      <c r="B26" s="61">
        <f>(Debt_Metrics!$C$32+(Operating!$D$11+Operating!$E$11)*$A26*(1-vac_res-loss_res)*(1-mgmt_pct))/(niif_*(12*(B$22/12)/(1-(1+B$22/12)^(-niif_amort*12))))</f>
        <v>1.4804855623573419</v>
      </c>
      <c r="C26" s="61">
        <f>(Debt_Metrics!$C$32+(Operating!$D$11+Operating!$E$11)*$A26*(1-vac_res-loss_res)*(1-mgmt_pct))/(niif_*(12*(C$22/12)/(1-(1+C$22/12)^(-niif_amort*12))))</f>
        <v>1.4059178841193887</v>
      </c>
      <c r="D26" s="61">
        <f>(Debt_Metrics!$C$32+(Operating!$D$11+Operating!$E$11)*$A26*(1-vac_res-loss_res)*(1-mgmt_pct))/(niif_*(12*(D$22/12)/(1-(1+D$22/12)^(-niif_amort*12))))</f>
        <v>1.3367569849896257</v>
      </c>
      <c r="E26" s="61">
        <f>(Debt_Metrics!$C$32+(Operating!$D$11+Operating!$E$11)*$A26*(1-vac_res-loss_res)*(1-mgmt_pct))/(niif_*(12*(E$22/12)/(1-(1+E$22/12)^(-niif_amort*12))))</f>
        <v>1.2725463898277574</v>
      </c>
      <c r="F26" s="61">
        <f>(Debt_Metrics!$C$32+(Operating!$D$11+Operating!$E$11)*$A26*(1-vac_res-loss_res)*(1-mgmt_pct))/(niif_*(12*(F$22/12)/(1-(1+F$22/12)^(-niif_amort*12))))</f>
        <v>1.212871521836556</v>
      </c>
      <c r="G26" s="61">
        <f>(Debt_Metrics!$C$32+(Operating!$D$11+Operating!$E$11)*$A26*(1-vac_res-loss_res)*(1-mgmt_pct))/(niif_*(12*(G$22/12)/(1-(1+G$22/12)^(-niif_amort*12))))</f>
        <v>1.1056562280751576</v>
      </c>
      <c r="H26" s="61">
        <f>(Debt_Metrics!$C$32+(Operating!$D$11+Operating!$E$11)*$A26*(1-vac_res-loss_res)*(1-mgmt_pct))/(niif_*(12*(H$22/12)/(1-(1+H$22/12)^(-niif_amort*12))))</f>
        <v>1.0124882086256102</v>
      </c>
    </row>
    <row r="27" spans="1:8" x14ac:dyDescent="0.25">
      <c r="A27" s="60">
        <v>0.05</v>
      </c>
      <c r="B27" s="61">
        <f>(Debt_Metrics!$C$32+(Operating!$D$11+Operating!$E$11)*$A27*(1-vac_res-loss_res)*(1-mgmt_pct))/(niif_*(12*(B$22/12)/(1-(1+B$22/12)^(-niif_amort*12))))</f>
        <v>1.5607232791555794</v>
      </c>
      <c r="C27" s="61">
        <f>(Debt_Metrics!$C$32+(Operating!$D$11+Operating!$E$11)*$A27*(1-vac_res-loss_res)*(1-mgmt_pct))/(niif_*(12*(C$22/12)/(1-(1+C$22/12)^(-niif_amort*12))))</f>
        <v>1.4821142644798482</v>
      </c>
      <c r="D27" s="61">
        <f>(Debt_Metrics!$C$32+(Operating!$D$11+Operating!$E$11)*$A27*(1-vac_res-loss_res)*(1-mgmt_pct))/(niif_*(12*(D$22/12)/(1-(1+D$22/12)^(-niif_amort*12))))</f>
        <v>1.4092050595381398</v>
      </c>
      <c r="E27" s="61">
        <f>(Debt_Metrics!$C$32+(Operating!$D$11+Operating!$E$11)*$A27*(1-vac_res-loss_res)*(1-mgmt_pct))/(niif_*(12*(E$22/12)/(1-(1+E$22/12)^(-niif_amort*12))))</f>
        <v>1.3415144496560734</v>
      </c>
      <c r="F27" s="61">
        <f>(Debt_Metrics!$C$32+(Operating!$D$11+Operating!$E$11)*$A27*(1-vac_res-loss_res)*(1-mgmt_pct))/(niif_*(12*(F$22/12)/(1-(1+F$22/12)^(-niif_amort*12))))</f>
        <v>1.2786053892623293</v>
      </c>
      <c r="G27" s="61">
        <f>(Debt_Metrics!$C$32+(Operating!$D$11+Operating!$E$11)*$A27*(1-vac_res-loss_res)*(1-mgmt_pct))/(niif_*(12*(G$22/12)/(1-(1+G$22/12)^(-niif_amort*12))))</f>
        <v>1.1655793597558495</v>
      </c>
      <c r="H27" s="61">
        <f>(Debt_Metrics!$C$32+(Operating!$D$11+Operating!$E$11)*$A27*(1-vac_res-loss_res)*(1-mgmt_pct))/(niif_*(12*(H$22/12)/(1-(1+H$22/12)^(-niif_amort*12))))</f>
        <v>1.0673619231763287</v>
      </c>
    </row>
    <row r="28" spans="1:8" x14ac:dyDescent="0.25">
      <c r="A28" s="60">
        <v>0.1</v>
      </c>
      <c r="B28" s="61">
        <f>(Debt_Metrics!$C$32+(Operating!$D$11+Operating!$E$11)*$A28*(1-vac_res-loss_res)*(1-mgmt_pct))/(niif_*(12*(B$22/12)/(1-(1+B$22/12)^(-niif_amort*12))))</f>
        <v>1.6409609959538174</v>
      </c>
      <c r="C28" s="61">
        <f>(Debt_Metrics!$C$32+(Operating!$D$11+Operating!$E$11)*$A28*(1-vac_res-loss_res)*(1-mgmt_pct))/(niif_*(12*(C$22/12)/(1-(1+C$22/12)^(-niif_amort*12))))</f>
        <v>1.5583106448403079</v>
      </c>
      <c r="D28" s="61">
        <f>(Debt_Metrics!$C$32+(Operating!$D$11+Operating!$E$11)*$A28*(1-vac_res-loss_res)*(1-mgmt_pct))/(niif_*(12*(D$22/12)/(1-(1+D$22/12)^(-niif_amort*12))))</f>
        <v>1.4816531340866541</v>
      </c>
      <c r="E28" s="61">
        <f>(Debt_Metrics!$C$32+(Operating!$D$11+Operating!$E$11)*$A28*(1-vac_res-loss_res)*(1-mgmt_pct))/(niif_*(12*(E$22/12)/(1-(1+E$22/12)^(-niif_amort*12))))</f>
        <v>1.4104825094843896</v>
      </c>
      <c r="F28" s="61">
        <f>(Debt_Metrics!$C$32+(Operating!$D$11+Operating!$E$11)*$A28*(1-vac_res-loss_res)*(1-mgmt_pct))/(niif_*(12*(F$22/12)/(1-(1+F$22/12)^(-niif_amort*12))))</f>
        <v>1.3443392566881027</v>
      </c>
      <c r="G28" s="61">
        <f>(Debt_Metrics!$C$32+(Operating!$D$11+Operating!$E$11)*$A28*(1-vac_res-loss_res)*(1-mgmt_pct))/(niif_*(12*(G$22/12)/(1-(1+G$22/12)^(-niif_amort*12))))</f>
        <v>1.2255024914365416</v>
      </c>
      <c r="H28" s="61">
        <f>(Debt_Metrics!$C$32+(Operating!$D$11+Operating!$E$11)*$A28*(1-vac_res-loss_res)*(1-mgmt_pct))/(niif_*(12*(H$22/12)/(1-(1+H$22/12)^(-niif_amort*12))))</f>
        <v>1.1222356377270473</v>
      </c>
    </row>
    <row r="29" spans="1:8" x14ac:dyDescent="0.25">
      <c r="A29" s="2" t="s">
        <v>764</v>
      </c>
    </row>
  </sheetData>
  <mergeCells count="1">
    <mergeCell ref="A18:H18"/>
  </mergeCells>
  <conditionalFormatting sqref="B23:H28">
    <cfRule type="cellIs" dxfId="0" priority="1" operator="lessThan">
      <formula>min_dscr</formula>
    </cfRule>
  </conditionalFormatting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1"/>
  <sheetViews>
    <sheetView showGridLines="0" workbookViewId="0"/>
  </sheetViews>
  <sheetFormatPr defaultRowHeight="15" x14ac:dyDescent="0.25"/>
  <cols>
    <col min="1" max="1" width="56" customWidth="1"/>
    <col min="2" max="2" width="16" customWidth="1"/>
    <col min="3" max="3" width="50" customWidth="1"/>
  </cols>
  <sheetData>
    <row r="1" spans="1:3" ht="20.25" x14ac:dyDescent="0.3">
      <c r="A1" s="1" t="s">
        <v>765</v>
      </c>
    </row>
    <row r="2" spans="1:3" x14ac:dyDescent="0.25">
      <c r="A2" s="2" t="s">
        <v>766</v>
      </c>
    </row>
    <row r="4" spans="1:3" ht="27.95" customHeight="1" x14ac:dyDescent="0.25">
      <c r="A4" s="11" t="s">
        <v>767</v>
      </c>
      <c r="B4" s="12" t="s">
        <v>580</v>
      </c>
      <c r="C4" s="12"/>
    </row>
    <row r="5" spans="1:3" x14ac:dyDescent="0.25">
      <c r="A5" s="8" t="s">
        <v>768</v>
      </c>
      <c r="B5" s="30">
        <f>Operating!E41/cap_rate</f>
        <v>1742757.3333333335</v>
      </c>
    </row>
    <row r="6" spans="1:3" x14ac:dyDescent="0.25">
      <c r="A6" s="8" t="s">
        <v>769</v>
      </c>
      <c r="B6" s="30">
        <f>Operating!E46/cap_rate</f>
        <v>1600819.7333333336</v>
      </c>
    </row>
    <row r="7" spans="1:3" x14ac:dyDescent="0.25">
      <c r="A7" s="8" t="s">
        <v>770</v>
      </c>
      <c r="B7" s="30">
        <f>Development_Budget!E15-Development_Budget!E5</f>
        <v>2869476.6702473601</v>
      </c>
    </row>
    <row r="8" spans="1:3" x14ac:dyDescent="0.25">
      <c r="A8" s="3" t="s">
        <v>771</v>
      </c>
      <c r="B8" s="62">
        <f>B5-B7</f>
        <v>-1126719.3369140266</v>
      </c>
    </row>
    <row r="9" spans="1:3" x14ac:dyDescent="0.25">
      <c r="A9" s="3" t="s">
        <v>772</v>
      </c>
      <c r="B9" s="47">
        <f>acq_1820</f>
        <v>3000</v>
      </c>
    </row>
    <row r="10" spans="1:3" ht="30" customHeight="1" x14ac:dyDescent="0.25">
      <c r="A10" s="64" t="s">
        <v>773</v>
      </c>
      <c r="B10" s="65"/>
      <c r="C10" s="65"/>
    </row>
    <row r="12" spans="1:3" ht="27.95" customHeight="1" x14ac:dyDescent="0.25">
      <c r="A12" s="11" t="s">
        <v>774</v>
      </c>
      <c r="B12" s="12" t="s">
        <v>580</v>
      </c>
      <c r="C12" s="12"/>
    </row>
    <row r="13" spans="1:3" x14ac:dyDescent="0.25">
      <c r="A13" s="8" t="s">
        <v>775</v>
      </c>
      <c r="B13" s="30">
        <f>(base_assess_1816+base_assess_1818)*tax_rate</f>
        <v>15165.359999999999</v>
      </c>
    </row>
    <row r="14" spans="1:3" x14ac:dyDescent="0.25">
      <c r="A14" s="8" t="s">
        <v>776</v>
      </c>
      <c r="B14" s="30">
        <f>(assess_1816+assess_1818+assess_1820)*tax_rate</f>
        <v>87320</v>
      </c>
    </row>
    <row r="15" spans="1:3" x14ac:dyDescent="0.25">
      <c r="A15" s="8" t="s">
        <v>777</v>
      </c>
      <c r="B15" s="62">
        <f>B14-B13</f>
        <v>72154.64</v>
      </c>
    </row>
    <row r="17" spans="1:3" ht="27.95" customHeight="1" x14ac:dyDescent="0.25">
      <c r="A17" s="11" t="s">
        <v>778</v>
      </c>
      <c r="B17" s="12"/>
      <c r="C17" s="12"/>
    </row>
    <row r="18" spans="1:3" x14ac:dyDescent="0.25">
      <c r="A18" s="66" t="s">
        <v>779</v>
      </c>
      <c r="B18" s="65"/>
      <c r="C18" s="65"/>
    </row>
    <row r="19" spans="1:3" x14ac:dyDescent="0.25">
      <c r="A19" s="66" t="s">
        <v>780</v>
      </c>
      <c r="B19" s="65"/>
      <c r="C19" s="65"/>
    </row>
    <row r="20" spans="1:3" x14ac:dyDescent="0.25">
      <c r="A20" s="66" t="s">
        <v>781</v>
      </c>
      <c r="B20" s="65"/>
      <c r="C20" s="65"/>
    </row>
    <row r="21" spans="1:3" x14ac:dyDescent="0.25">
      <c r="A21" s="66" t="s">
        <v>782</v>
      </c>
      <c r="B21" s="65"/>
      <c r="C21" s="65"/>
    </row>
  </sheetData>
  <mergeCells count="5">
    <mergeCell ref="A10:C10"/>
    <mergeCell ref="A19:C19"/>
    <mergeCell ref="A18:C18"/>
    <mergeCell ref="A21:C21"/>
    <mergeCell ref="A20:C20"/>
  </mergeCells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17"/>
  <sheetViews>
    <sheetView showGridLines="0" workbookViewId="0"/>
  </sheetViews>
  <sheetFormatPr defaultRowHeight="15" x14ac:dyDescent="0.25"/>
  <cols>
    <col min="1" max="1" width="60" customWidth="1"/>
    <col min="2" max="2" width="16" customWidth="1"/>
    <col min="3" max="3" width="12" customWidth="1"/>
  </cols>
  <sheetData>
    <row r="1" spans="1:3" ht="20.25" x14ac:dyDescent="0.3">
      <c r="A1" s="1" t="s">
        <v>783</v>
      </c>
    </row>
    <row r="2" spans="1:3" x14ac:dyDescent="0.25">
      <c r="A2" s="2" t="s">
        <v>784</v>
      </c>
    </row>
    <row r="3" spans="1:3" x14ac:dyDescent="0.25">
      <c r="A3" s="3" t="s">
        <v>785</v>
      </c>
      <c r="C3" s="3" t="str">
        <f>IF(COUNTIF(C5:C17,"OK")+COUNTIF(C5:C17,"PASS")=13,"All checks OK","Review Checks tab")</f>
        <v>All checks OK</v>
      </c>
    </row>
    <row r="4" spans="1:3" ht="27.95" customHeight="1" x14ac:dyDescent="0.25">
      <c r="A4" s="11" t="s">
        <v>786</v>
      </c>
      <c r="B4" s="12" t="s">
        <v>787</v>
      </c>
      <c r="C4" s="12" t="s">
        <v>630</v>
      </c>
    </row>
    <row r="5" spans="1:3" x14ac:dyDescent="0.25">
      <c r="A5" s="8" t="s">
        <v>788</v>
      </c>
      <c r="B5" s="63">
        <f>Sources_Uses!B19</f>
        <v>0</v>
      </c>
      <c r="C5" s="3" t="str">
        <f t="shared" ref="C5:C12" si="0">IF(ABS(B5)&lt;0.5,"OK","CHECK")</f>
        <v>OK</v>
      </c>
    </row>
    <row r="6" spans="1:3" x14ac:dyDescent="0.25">
      <c r="A6" s="8" t="s">
        <v>789</v>
      </c>
      <c r="B6" s="63">
        <f>Sources_Uses!B46</f>
        <v>0</v>
      </c>
      <c r="C6" s="3" t="str">
        <f t="shared" si="0"/>
        <v>OK</v>
      </c>
    </row>
    <row r="7" spans="1:3" x14ac:dyDescent="0.25">
      <c r="A7" s="8" t="s">
        <v>790</v>
      </c>
      <c r="B7" s="63">
        <f>Sources_Uses!B48-Sources_Uses!B49</f>
        <v>0</v>
      </c>
      <c r="C7" s="3" t="str">
        <f t="shared" si="0"/>
        <v>OK</v>
      </c>
    </row>
    <row r="8" spans="1:3" x14ac:dyDescent="0.25">
      <c r="A8" s="8" t="s">
        <v>791</v>
      </c>
      <c r="B8" s="63">
        <f>SUM(Development_Budget!C15:E15)-Development_Budget!F15</f>
        <v>0</v>
      </c>
      <c r="C8" s="3" t="str">
        <f t="shared" si="0"/>
        <v>OK</v>
      </c>
    </row>
    <row r="9" spans="1:3" x14ac:dyDescent="0.25">
      <c r="A9" s="8" t="s">
        <v>792</v>
      </c>
      <c r="B9" s="63">
        <f>SUM(Construction_Budget!G11:G23)-1</f>
        <v>0</v>
      </c>
      <c r="C9" s="3" t="str">
        <f t="shared" si="0"/>
        <v>OK</v>
      </c>
    </row>
    <row r="10" spans="1:3" x14ac:dyDescent="0.25">
      <c r="A10" s="8" t="s">
        <v>793</v>
      </c>
      <c r="B10" s="63">
        <f>SUM(Construction_Budget!G6:G8)-1</f>
        <v>0</v>
      </c>
      <c r="C10" s="3" t="str">
        <f t="shared" si="0"/>
        <v>OK</v>
      </c>
    </row>
    <row r="11" spans="1:3" x14ac:dyDescent="0.25">
      <c r="A11" s="8" t="s">
        <v>794</v>
      </c>
      <c r="B11" s="63">
        <f>Pro_Forma!L30</f>
        <v>0</v>
      </c>
      <c r="C11" s="3" t="str">
        <f t="shared" si="0"/>
        <v>OK</v>
      </c>
    </row>
    <row r="12" spans="1:3" x14ac:dyDescent="0.25">
      <c r="A12" s="8" t="s">
        <v>795</v>
      </c>
      <c r="B12" s="63">
        <f>Construction_Budget!F40-Development_Budget!F9</f>
        <v>0</v>
      </c>
      <c r="C12" s="3" t="str">
        <f t="shared" si="0"/>
        <v>OK</v>
      </c>
    </row>
    <row r="13" spans="1:3" x14ac:dyDescent="0.25">
      <c r="A13" s="8" t="s">
        <v>796</v>
      </c>
      <c r="C13" s="3" t="str">
        <f>Debt_Metrics!D44</f>
        <v>PASS</v>
      </c>
    </row>
    <row r="14" spans="1:3" x14ac:dyDescent="0.25">
      <c r="A14" s="8" t="s">
        <v>797</v>
      </c>
      <c r="C14" s="3" t="str">
        <f>Debt_Metrics!D45</f>
        <v>PASS</v>
      </c>
    </row>
    <row r="15" spans="1:3" x14ac:dyDescent="0.25">
      <c r="A15" s="8" t="s">
        <v>798</v>
      </c>
      <c r="C15" s="3" t="str">
        <f>Debt_Metrics!D46</f>
        <v>PASS</v>
      </c>
    </row>
    <row r="16" spans="1:3" x14ac:dyDescent="0.25">
      <c r="A16" s="8" t="s">
        <v>799</v>
      </c>
      <c r="C16" s="3" t="str">
        <f>Debt_Metrics!D47</f>
        <v>PASS</v>
      </c>
    </row>
    <row r="17" spans="1:3" x14ac:dyDescent="0.25">
      <c r="A17" s="8" t="s">
        <v>800</v>
      </c>
      <c r="C17" s="3" t="str">
        <f>Debt_Metrics!D48</f>
        <v>PASS</v>
      </c>
    </row>
  </sheetData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131</vt:i4>
      </vt:variant>
    </vt:vector>
  </HeadingPairs>
  <TitlesOfParts>
    <vt:vector size="143" baseType="lpstr">
      <vt:lpstr>Cover</vt:lpstr>
      <vt:lpstr>Assumptions</vt:lpstr>
      <vt:lpstr>Rent_Roll</vt:lpstr>
      <vt:lpstr>Operating</vt:lpstr>
      <vt:lpstr>Construction_Budget</vt:lpstr>
      <vt:lpstr>Development_Budget</vt:lpstr>
      <vt:lpstr>Debt_Metrics</vt:lpstr>
      <vt:lpstr>Sources_Uses</vt:lpstr>
      <vt:lpstr>Pro_Forma</vt:lpstr>
      <vt:lpstr>Sensitivity</vt:lpstr>
      <vt:lpstr>1820_Offer</vt:lpstr>
      <vt:lpstr>Checks</vt:lpstr>
      <vt:lpstr>acq_1816</vt:lpstr>
      <vt:lpstr>acq_1818</vt:lpstr>
      <vt:lpstr>acq_1820</vt:lpstr>
      <vt:lpstr>acq_closing_min</vt:lpstr>
      <vt:lpstr>acq_closing_pct</vt:lpstr>
      <vt:lpstr>admin_unit</vt:lpstr>
      <vt:lpstr>appraisal_env_bldg</vt:lpstr>
      <vt:lpstr>arch_eng_pct</vt:lpstr>
      <vt:lpstr>assess_1816</vt:lpstr>
      <vt:lpstr>assess_1818</vt:lpstr>
      <vt:lpstr>assess_1820</vt:lpstr>
      <vt:lpstr>base_assess_1816</vt:lpstr>
      <vt:lpstr>base_assess_1818</vt:lpstr>
      <vt:lpstr>base_assess_1820</vt:lpstr>
      <vt:lpstr>bdc_facade</vt:lpstr>
      <vt:lpstr>bdc_gap</vt:lpstr>
      <vt:lpstr>bond_bill_2025</vt:lpstr>
      <vt:lpstr>bond_bill_2027</vt:lpstr>
      <vt:lpstr>brni_1816</vt:lpstr>
      <vt:lpstr>brni_2028</vt:lpstr>
      <vt:lpstr>cap_rate</vt:lpstr>
      <vt:lpstr>carry_to_date_1816</vt:lpstr>
      <vt:lpstr>chap_1816</vt:lpstr>
      <vt:lpstr>chap_enabled</vt:lpstr>
      <vt:lpstr>chap_pct</vt:lpstr>
      <vt:lpstr>chap_years</vt:lpstr>
      <vt:lpstr>ci_</vt:lpstr>
      <vt:lpstr>city_tax_rate</vt:lpstr>
      <vt:lpstr>closing_1816</vt:lpstr>
      <vt:lpstr>com_rent_change</vt:lpstr>
      <vt:lpstr>community_legacy</vt:lpstr>
      <vt:lpstr>cost_to_date_1816</vt:lpstr>
      <vt:lpstr>deck_ffe_unit</vt:lpstr>
      <vt:lpstr>deck_maint_unit</vt:lpstr>
      <vt:lpstr>deck_psf</vt:lpstr>
      <vt:lpstr>deck_sf</vt:lpstr>
      <vt:lpstr>deferred_fee</vt:lpstr>
      <vt:lpstr>dev_fee_deferred_pct</vt:lpstr>
      <vt:lpstr>dev_fee_pct</vt:lpstr>
      <vt:lpstr>dev_fee_sweep</vt:lpstr>
      <vt:lpstr>ds16_</vt:lpstr>
      <vt:lpstr>dsN_</vt:lpstr>
      <vt:lpstr>enviro_bldg</vt:lpstr>
      <vt:lpstr>equity_1816_invested</vt:lpstr>
      <vt:lpstr>equity_cash</vt:lpstr>
      <vt:lpstr>escalation_pct</vt:lpstr>
      <vt:lpstr>exit_cap</vt:lpstr>
      <vt:lpstr>exp_growth</vt:lpstr>
      <vt:lpstr>facade_1818</vt:lpstr>
      <vt:lpstr>facade_1820</vt:lpstr>
      <vt:lpstr>fed_htc_rate</vt:lpstr>
      <vt:lpstr>fee_</vt:lpstr>
      <vt:lpstr>ffe_reserve_unit</vt:lpstr>
      <vt:lpstr>ffe_unit</vt:lpstr>
      <vt:lpstr>fire_bldg</vt:lpstr>
      <vt:lpstr>flooring_premium_psf</vt:lpstr>
      <vt:lpstr>furnished_premium</vt:lpstr>
      <vt:lpstr>gc_fee</vt:lpstr>
      <vt:lpstr>gsf_1818_existing</vt:lpstr>
      <vt:lpstr>gsf_1820</vt:lpstr>
      <vt:lpstr>hard_contingency</vt:lpstr>
      <vt:lpstr>hard_contingency_1816</vt:lpstr>
      <vt:lpstr>hc_1816_remaining</vt:lpstr>
      <vt:lpstr>hc_psf_addition_1818</vt:lpstr>
      <vt:lpstr>hc_psf_rehab_1818</vt:lpstr>
      <vt:lpstr>hc_psf_rehab_1820</vt:lpstr>
      <vt:lpstr>hm_1816_payoff</vt:lpstr>
      <vt:lpstr>hm_charges_1816</vt:lpstr>
      <vt:lpstr>hm_points</vt:lpstr>
      <vt:lpstr>hm_rate</vt:lpstr>
      <vt:lpstr>htc_price</vt:lpstr>
      <vt:lpstr>include_fed_htc</vt:lpstr>
      <vt:lpstr>include_mht</vt:lpstr>
      <vt:lpstr>ins_com</vt:lpstr>
      <vt:lpstr>ins_unit</vt:lpstr>
      <vt:lpstr>k16_</vt:lpstr>
      <vt:lpstr>kN_</vt:lpstr>
      <vt:lpstr>L16_</vt:lpstr>
      <vt:lpstr>legal_pct</vt:lpstr>
      <vt:lpstr>loss_com</vt:lpstr>
      <vt:lpstr>loss_res</vt:lpstr>
      <vt:lpstr>marketing_unit</vt:lpstr>
      <vt:lpstr>mgmt_pct</vt:lpstr>
      <vt:lpstr>mht_credit_rate</vt:lpstr>
      <vt:lpstr>min_dscr</vt:lpstr>
      <vt:lpstr>niif_</vt:lpstr>
      <vt:lpstr>niif_amort</vt:lpstr>
      <vt:lpstr>niif_avg_draw</vt:lpstr>
      <vt:lpstr>niif_fee</vt:lpstr>
      <vt:lpstr>niif_io_months</vt:lpstr>
      <vt:lpstr>niif_loan_override</vt:lpstr>
      <vt:lpstr>niif_max_loan</vt:lpstr>
      <vt:lpstr>niif_max_ltc</vt:lpstr>
      <vt:lpstr>niif_max_ltv</vt:lpstr>
      <vt:lpstr>niif_rate</vt:lpstr>
      <vt:lpstr>niif_term</vt:lpstr>
      <vt:lpstr>operating_reserve_months</vt:lpstr>
      <vt:lpstr>other_income_unit</vt:lpstr>
      <vt:lpstr>outdoor_kitchen_unit</vt:lpstr>
      <vt:lpstr>permits_pct</vt:lpstr>
      <vt:lpstr>qre_share</vt:lpstr>
      <vt:lpstr>refi_cost_pct</vt:lpstr>
      <vt:lpstr>refi1816_amort</vt:lpstr>
      <vt:lpstr>refi1816_rate</vt:lpstr>
      <vt:lpstr>rent_growth</vt:lpstr>
      <vt:lpstr>res_rent_change</vt:lpstr>
      <vt:lpstr>reserve_unit</vt:lpstr>
      <vt:lpstr>resident_services_unit</vt:lpstr>
      <vt:lpstr>rm_unit</vt:lpstr>
      <vt:lpstr>sale_cost</vt:lpstr>
      <vt:lpstr>sbd_bldg</vt:lpstr>
      <vt:lpstr>sdf_grant</vt:lpstr>
      <vt:lpstr>security_bldg</vt:lpstr>
      <vt:lpstr>sf_addition_1818</vt:lpstr>
      <vt:lpstr>size_on_chap</vt:lpstr>
      <vt:lpstr>size_on_market</vt:lpstr>
      <vt:lpstr>soft_1816</vt:lpstr>
      <vt:lpstr>soft_contingency</vt:lpstr>
      <vt:lpstr>soft_insurance_pct</vt:lpstr>
      <vt:lpstr>sprinkler_bldg</vt:lpstr>
      <vt:lpstr>stabilized_year</vt:lpstr>
      <vt:lpstr>storefront_com</vt:lpstr>
      <vt:lpstr>tax_rate</vt:lpstr>
      <vt:lpstr>tech_unit</vt:lpstr>
      <vt:lpstr>trash_bldg</vt:lpstr>
      <vt:lpstr>turn_unit</vt:lpstr>
      <vt:lpstr>use_market</vt:lpstr>
      <vt:lpstr>util_bldg</vt:lpstr>
      <vt:lpstr>vac_com</vt:lpstr>
      <vt:lpstr>vac_res</vt:lpstr>
      <vt:lpstr>water_unit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2026-09-17T18:21:22Z</dcterms:created>
  <dcterms:modified xsi:type="dcterms:W3CDTF">2026-09-17T18:21:26Z</dcterms:modified>
</cp:coreProperties>
</file>